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VORN!$I$45</definedName>
  </definedNames>
  <calcPr calcId="124519"/>
</workbook>
</file>

<file path=xl/calcChain.xml><?xml version="1.0" encoding="utf-8"?>
<calcChain xmlns="http://schemas.openxmlformats.org/spreadsheetml/2006/main">
  <c r="BR279" i="3"/>
  <c r="BJ279"/>
  <c r="BF279"/>
  <c r="BD279"/>
  <c r="AX279"/>
  <c r="AP279"/>
  <c r="BI279" s="1"/>
  <c r="AO279"/>
  <c r="AW279" s="1"/>
  <c r="AL279"/>
  <c r="AJ279"/>
  <c r="AH279"/>
  <c r="AG279"/>
  <c r="AF279"/>
  <c r="AE279"/>
  <c r="AD279"/>
  <c r="AC279"/>
  <c r="AB279"/>
  <c r="Z279"/>
  <c r="H279"/>
  <c r="AK279" s="1"/>
  <c r="AT278" s="1"/>
  <c r="AU278"/>
  <c r="AS278"/>
  <c r="H278"/>
  <c r="BO277"/>
  <c r="BJ277"/>
  <c r="BF277"/>
  <c r="BD277"/>
  <c r="AX277"/>
  <c r="AP277"/>
  <c r="BI277" s="1"/>
  <c r="AO277"/>
  <c r="AW277" s="1"/>
  <c r="AL277"/>
  <c r="AJ277"/>
  <c r="AH277"/>
  <c r="AG277"/>
  <c r="AF277"/>
  <c r="AE277"/>
  <c r="AD277"/>
  <c r="AC277"/>
  <c r="AB277"/>
  <c r="Z277"/>
  <c r="H277"/>
  <c r="AK277" s="1"/>
  <c r="AT276" s="1"/>
  <c r="AU276"/>
  <c r="AS276"/>
  <c r="H276"/>
  <c r="H275" s="1"/>
  <c r="BJ274"/>
  <c r="BF274"/>
  <c r="BD274"/>
  <c r="AX274"/>
  <c r="AP274"/>
  <c r="BI274" s="1"/>
  <c r="AG274" s="1"/>
  <c r="AO274"/>
  <c r="AW274" s="1"/>
  <c r="AL274"/>
  <c r="AJ274"/>
  <c r="AH274"/>
  <c r="AE274"/>
  <c r="AD274"/>
  <c r="AC274"/>
  <c r="AB274"/>
  <c r="Z274"/>
  <c r="H274"/>
  <c r="AK274" s="1"/>
  <c r="BJ273"/>
  <c r="BF273"/>
  <c r="BD273"/>
  <c r="AW273"/>
  <c r="BC273" s="1"/>
  <c r="AP273"/>
  <c r="AX273" s="1"/>
  <c r="AO273"/>
  <c r="BH273" s="1"/>
  <c r="AF273" s="1"/>
  <c r="AL273"/>
  <c r="AU269" s="1"/>
  <c r="AJ273"/>
  <c r="AH273"/>
  <c r="AE273"/>
  <c r="AD273"/>
  <c r="AC273"/>
  <c r="AB273"/>
  <c r="Z273"/>
  <c r="H273"/>
  <c r="AK273" s="1"/>
  <c r="BJ272"/>
  <c r="BF272"/>
  <c r="BD272"/>
  <c r="AX272"/>
  <c r="AP272"/>
  <c r="BI272" s="1"/>
  <c r="AG272" s="1"/>
  <c r="AO272"/>
  <c r="AW272" s="1"/>
  <c r="AL272"/>
  <c r="AK272"/>
  <c r="AJ272"/>
  <c r="AH272"/>
  <c r="AE272"/>
  <c r="AD272"/>
  <c r="AC272"/>
  <c r="AB272"/>
  <c r="Z272"/>
  <c r="H272"/>
  <c r="BJ271"/>
  <c r="BF271"/>
  <c r="BD271"/>
  <c r="AW271"/>
  <c r="AP271"/>
  <c r="AX271" s="1"/>
  <c r="BC271" s="1"/>
  <c r="AO271"/>
  <c r="BH271" s="1"/>
  <c r="AF271" s="1"/>
  <c r="AL271"/>
  <c r="AJ271"/>
  <c r="AS269" s="1"/>
  <c r="AH271"/>
  <c r="AE271"/>
  <c r="AD271"/>
  <c r="AC271"/>
  <c r="AB271"/>
  <c r="Z271"/>
  <c r="H271"/>
  <c r="AK271" s="1"/>
  <c r="BJ270"/>
  <c r="BF270"/>
  <c r="BD270"/>
  <c r="AX270"/>
  <c r="AP270"/>
  <c r="BI270" s="1"/>
  <c r="AG270" s="1"/>
  <c r="AO270"/>
  <c r="AW270" s="1"/>
  <c r="AL270"/>
  <c r="AJ270"/>
  <c r="AH270"/>
  <c r="AE270"/>
  <c r="AD270"/>
  <c r="AC270"/>
  <c r="AB270"/>
  <c r="Z270"/>
  <c r="H270"/>
  <c r="AK270" s="1"/>
  <c r="H269"/>
  <c r="BJ267"/>
  <c r="BF267"/>
  <c r="BD267"/>
  <c r="AW267"/>
  <c r="AP267"/>
  <c r="AX267" s="1"/>
  <c r="AO267"/>
  <c r="BH267" s="1"/>
  <c r="AD267" s="1"/>
  <c r="AL267"/>
  <c r="AU265" s="1"/>
  <c r="AJ267"/>
  <c r="AH267"/>
  <c r="AG267"/>
  <c r="AF267"/>
  <c r="AC267"/>
  <c r="AB267"/>
  <c r="Z267"/>
  <c r="H267"/>
  <c r="AK267" s="1"/>
  <c r="BJ266"/>
  <c r="BF266"/>
  <c r="BD266"/>
  <c r="AX266"/>
  <c r="AP266"/>
  <c r="BI266" s="1"/>
  <c r="AE266" s="1"/>
  <c r="AO266"/>
  <c r="AW266" s="1"/>
  <c r="BC266" s="1"/>
  <c r="AL266"/>
  <c r="AK266"/>
  <c r="AT265" s="1"/>
  <c r="AJ266"/>
  <c r="AH266"/>
  <c r="AG266"/>
  <c r="AF266"/>
  <c r="AC266"/>
  <c r="AB266"/>
  <c r="Z266"/>
  <c r="H266"/>
  <c r="AS265"/>
  <c r="H265"/>
  <c r="BJ263"/>
  <c r="BF263"/>
  <c r="BD263"/>
  <c r="AW263"/>
  <c r="AP263"/>
  <c r="AX263" s="1"/>
  <c r="BC263" s="1"/>
  <c r="AO263"/>
  <c r="BH263" s="1"/>
  <c r="AD263" s="1"/>
  <c r="AL263"/>
  <c r="AJ263"/>
  <c r="AS262" s="1"/>
  <c r="AH263"/>
  <c r="AG263"/>
  <c r="AF263"/>
  <c r="AC263"/>
  <c r="AB263"/>
  <c r="Z263"/>
  <c r="H263"/>
  <c r="AK263" s="1"/>
  <c r="AT262" s="1"/>
  <c r="AU262"/>
  <c r="H262"/>
  <c r="BJ261"/>
  <c r="Z261" s="1"/>
  <c r="BH261"/>
  <c r="BF261"/>
  <c r="BD261"/>
  <c r="AX261"/>
  <c r="AP261"/>
  <c r="BI261" s="1"/>
  <c r="AO261"/>
  <c r="AW261" s="1"/>
  <c r="AL261"/>
  <c r="AJ261"/>
  <c r="AH261"/>
  <c r="AG261"/>
  <c r="AF261"/>
  <c r="AE261"/>
  <c r="AD261"/>
  <c r="AC261"/>
  <c r="AB261"/>
  <c r="H261"/>
  <c r="AK261" s="1"/>
  <c r="BJ259"/>
  <c r="BF259"/>
  <c r="BD259"/>
  <c r="AW259"/>
  <c r="AP259"/>
  <c r="AX259" s="1"/>
  <c r="AO259"/>
  <c r="BH259" s="1"/>
  <c r="AD259" s="1"/>
  <c r="AL259"/>
  <c r="AJ259"/>
  <c r="AH259"/>
  <c r="AG259"/>
  <c r="AF259"/>
  <c r="AC259"/>
  <c r="AB259"/>
  <c r="Z259"/>
  <c r="H259"/>
  <c r="AK259" s="1"/>
  <c r="BJ258"/>
  <c r="BF258"/>
  <c r="BD258"/>
  <c r="AX258"/>
  <c r="AP258"/>
  <c r="BI258" s="1"/>
  <c r="AE258" s="1"/>
  <c r="AO258"/>
  <c r="AW258" s="1"/>
  <c r="BC258" s="1"/>
  <c r="AL258"/>
  <c r="AK258"/>
  <c r="AJ258"/>
  <c r="AH258"/>
  <c r="AG258"/>
  <c r="AF258"/>
  <c r="AC258"/>
  <c r="AB258"/>
  <c r="Z258"/>
  <c r="H258"/>
  <c r="BJ256"/>
  <c r="BF256"/>
  <c r="BD256"/>
  <c r="BC256"/>
  <c r="AW256"/>
  <c r="AP256"/>
  <c r="AX256" s="1"/>
  <c r="AO256"/>
  <c r="BH256" s="1"/>
  <c r="AD256" s="1"/>
  <c r="AL256"/>
  <c r="AJ256"/>
  <c r="AS250" s="1"/>
  <c r="AH256"/>
  <c r="AG256"/>
  <c r="AF256"/>
  <c r="AC256"/>
  <c r="AB256"/>
  <c r="Z256"/>
  <c r="H256"/>
  <c r="AK256" s="1"/>
  <c r="BJ255"/>
  <c r="BF255"/>
  <c r="BD255"/>
  <c r="AX255"/>
  <c r="AP255"/>
  <c r="BI255" s="1"/>
  <c r="AE255" s="1"/>
  <c r="AO255"/>
  <c r="AW255" s="1"/>
  <c r="AL255"/>
  <c r="AJ255"/>
  <c r="AH255"/>
  <c r="AG255"/>
  <c r="AF255"/>
  <c r="AC255"/>
  <c r="AB255"/>
  <c r="Z255"/>
  <c r="H255"/>
  <c r="BJ251"/>
  <c r="BF251"/>
  <c r="BD251"/>
  <c r="AW251"/>
  <c r="AP251"/>
  <c r="AX251" s="1"/>
  <c r="AO251"/>
  <c r="BH251" s="1"/>
  <c r="AD251" s="1"/>
  <c r="AL251"/>
  <c r="AJ251"/>
  <c r="AH251"/>
  <c r="AG251"/>
  <c r="AF251"/>
  <c r="AC251"/>
  <c r="AB251"/>
  <c r="Z251"/>
  <c r="H251"/>
  <c r="AK251" s="1"/>
  <c r="AU250"/>
  <c r="BJ249"/>
  <c r="Z249" s="1"/>
  <c r="BF249"/>
  <c r="BD249"/>
  <c r="AX249"/>
  <c r="AP249"/>
  <c r="BI249" s="1"/>
  <c r="AO249"/>
  <c r="AW249" s="1"/>
  <c r="BC249" s="1"/>
  <c r="AL249"/>
  <c r="AK249"/>
  <c r="AJ249"/>
  <c r="AH249"/>
  <c r="AG249"/>
  <c r="AF249"/>
  <c r="AE249"/>
  <c r="AD249"/>
  <c r="AC249"/>
  <c r="AB249"/>
  <c r="H249"/>
  <c r="BJ248"/>
  <c r="BI248"/>
  <c r="BF248"/>
  <c r="BD248"/>
  <c r="BC248"/>
  <c r="AW248"/>
  <c r="AV248" s="1"/>
  <c r="AP248"/>
  <c r="AX248" s="1"/>
  <c r="AO248"/>
  <c r="BH248" s="1"/>
  <c r="AD248" s="1"/>
  <c r="AL248"/>
  <c r="AU246" s="1"/>
  <c r="AJ248"/>
  <c r="AS246" s="1"/>
  <c r="AH248"/>
  <c r="AG248"/>
  <c r="AF248"/>
  <c r="AE248"/>
  <c r="AC248"/>
  <c r="AB248"/>
  <c r="Z248"/>
  <c r="H248"/>
  <c r="AK248" s="1"/>
  <c r="BJ247"/>
  <c r="BH247"/>
  <c r="AD247" s="1"/>
  <c r="BF247"/>
  <c r="BD247"/>
  <c r="AX247"/>
  <c r="AP247"/>
  <c r="BI247" s="1"/>
  <c r="AE247" s="1"/>
  <c r="AO247"/>
  <c r="AW247" s="1"/>
  <c r="AL247"/>
  <c r="AJ247"/>
  <c r="AH247"/>
  <c r="AG247"/>
  <c r="AF247"/>
  <c r="AC247"/>
  <c r="AB247"/>
  <c r="Z247"/>
  <c r="H247"/>
  <c r="AK247" s="1"/>
  <c r="H246"/>
  <c r="BJ245"/>
  <c r="BF245"/>
  <c r="BD245"/>
  <c r="AW245"/>
  <c r="AP245"/>
  <c r="AX245" s="1"/>
  <c r="AO245"/>
  <c r="BH245" s="1"/>
  <c r="AL245"/>
  <c r="AJ245"/>
  <c r="AH245"/>
  <c r="AG245"/>
  <c r="AF245"/>
  <c r="AE245"/>
  <c r="AD245"/>
  <c r="AC245"/>
  <c r="AB245"/>
  <c r="Z245"/>
  <c r="H245"/>
  <c r="AK245" s="1"/>
  <c r="BJ243"/>
  <c r="BF243"/>
  <c r="BD243"/>
  <c r="AX243"/>
  <c r="AP243"/>
  <c r="BI243" s="1"/>
  <c r="AE243" s="1"/>
  <c r="AO243"/>
  <c r="AW243" s="1"/>
  <c r="BC243" s="1"/>
  <c r="AL243"/>
  <c r="AK243"/>
  <c r="AJ243"/>
  <c r="AH243"/>
  <c r="AG243"/>
  <c r="AF243"/>
  <c r="AC243"/>
  <c r="AB243"/>
  <c r="Z243"/>
  <c r="H243"/>
  <c r="BJ242"/>
  <c r="BI242"/>
  <c r="BF242"/>
  <c r="BD242"/>
  <c r="AW242"/>
  <c r="AV242" s="1"/>
  <c r="AP242"/>
  <c r="AX242" s="1"/>
  <c r="BC242" s="1"/>
  <c r="AO242"/>
  <c r="BH242" s="1"/>
  <c r="AD242" s="1"/>
  <c r="AL242"/>
  <c r="AJ242"/>
  <c r="AH242"/>
  <c r="AG242"/>
  <c r="AF242"/>
  <c r="AE242"/>
  <c r="AC242"/>
  <c r="AB242"/>
  <c r="Z242"/>
  <c r="H242"/>
  <c r="AK242" s="1"/>
  <c r="BJ241"/>
  <c r="BH241"/>
  <c r="AD241" s="1"/>
  <c r="BF241"/>
  <c r="BD241"/>
  <c r="AX241"/>
  <c r="AP241"/>
  <c r="BI241" s="1"/>
  <c r="AE241" s="1"/>
  <c r="AO241"/>
  <c r="AW241" s="1"/>
  <c r="AL241"/>
  <c r="AJ241"/>
  <c r="AH241"/>
  <c r="AG241"/>
  <c r="AF241"/>
  <c r="AC241"/>
  <c r="AB241"/>
  <c r="Z241"/>
  <c r="H241"/>
  <c r="AK241" s="1"/>
  <c r="BJ239"/>
  <c r="BF239"/>
  <c r="BD239"/>
  <c r="AW239"/>
  <c r="AP239"/>
  <c r="AX239" s="1"/>
  <c r="AO239"/>
  <c r="BH239" s="1"/>
  <c r="AD239" s="1"/>
  <c r="AL239"/>
  <c r="AU230" s="1"/>
  <c r="AJ239"/>
  <c r="AH239"/>
  <c r="AG239"/>
  <c r="AF239"/>
  <c r="AC239"/>
  <c r="AB239"/>
  <c r="Z239"/>
  <c r="H239"/>
  <c r="AK239" s="1"/>
  <c r="BJ235"/>
  <c r="BF235"/>
  <c r="BD235"/>
  <c r="AX235"/>
  <c r="AV235"/>
  <c r="AP235"/>
  <c r="BI235" s="1"/>
  <c r="AE235" s="1"/>
  <c r="AO235"/>
  <c r="AW235" s="1"/>
  <c r="BC235" s="1"/>
  <c r="AL235"/>
  <c r="AK235"/>
  <c r="AJ235"/>
  <c r="AH235"/>
  <c r="AG235"/>
  <c r="AF235"/>
  <c r="AC235"/>
  <c r="AB235"/>
  <c r="Z235"/>
  <c r="H235"/>
  <c r="H230" s="1"/>
  <c r="BJ231"/>
  <c r="BF231"/>
  <c r="BD231"/>
  <c r="AW231"/>
  <c r="AP231"/>
  <c r="AX231" s="1"/>
  <c r="BC231" s="1"/>
  <c r="AO231"/>
  <c r="BH231" s="1"/>
  <c r="AD231" s="1"/>
  <c r="AL231"/>
  <c r="AJ231"/>
  <c r="AH231"/>
  <c r="AG231"/>
  <c r="AF231"/>
  <c r="AC231"/>
  <c r="AB231"/>
  <c r="Z231"/>
  <c r="H231"/>
  <c r="AK231" s="1"/>
  <c r="AS230"/>
  <c r="BJ229"/>
  <c r="Z229" s="1"/>
  <c r="BH229"/>
  <c r="BF229"/>
  <c r="BD229"/>
  <c r="AX229"/>
  <c r="AP229"/>
  <c r="BI229" s="1"/>
  <c r="AO229"/>
  <c r="AW229" s="1"/>
  <c r="AL229"/>
  <c r="AJ229"/>
  <c r="AH229"/>
  <c r="AG229"/>
  <c r="AF229"/>
  <c r="AE229"/>
  <c r="AD229"/>
  <c r="AC229"/>
  <c r="AB229"/>
  <c r="H229"/>
  <c r="AK229" s="1"/>
  <c r="BJ228"/>
  <c r="BF228"/>
  <c r="BD228"/>
  <c r="AW228"/>
  <c r="AP228"/>
  <c r="AX228" s="1"/>
  <c r="AO228"/>
  <c r="BH228" s="1"/>
  <c r="AD228" s="1"/>
  <c r="AL228"/>
  <c r="AJ228"/>
  <c r="AH228"/>
  <c r="AG228"/>
  <c r="AF228"/>
  <c r="AC228"/>
  <c r="AB228"/>
  <c r="Z228"/>
  <c r="H228"/>
  <c r="AK228" s="1"/>
  <c r="BJ224"/>
  <c r="BF224"/>
  <c r="BD224"/>
  <c r="AX224"/>
  <c r="AV224"/>
  <c r="AP224"/>
  <c r="BI224" s="1"/>
  <c r="AE224" s="1"/>
  <c r="AO224"/>
  <c r="AW224" s="1"/>
  <c r="BC224" s="1"/>
  <c r="AL224"/>
  <c r="AK224"/>
  <c r="AJ224"/>
  <c r="AH224"/>
  <c r="AG224"/>
  <c r="AF224"/>
  <c r="AC224"/>
  <c r="AB224"/>
  <c r="Z224"/>
  <c r="H224"/>
  <c r="BJ223"/>
  <c r="BF223"/>
  <c r="BD223"/>
  <c r="AW223"/>
  <c r="AP223"/>
  <c r="AX223" s="1"/>
  <c r="BC223" s="1"/>
  <c r="AO223"/>
  <c r="BH223" s="1"/>
  <c r="AD223" s="1"/>
  <c r="AL223"/>
  <c r="AJ223"/>
  <c r="AS219" s="1"/>
  <c r="AH223"/>
  <c r="AG223"/>
  <c r="AF223"/>
  <c r="AC223"/>
  <c r="AB223"/>
  <c r="Z223"/>
  <c r="H223"/>
  <c r="AK223" s="1"/>
  <c r="BJ221"/>
  <c r="BH221"/>
  <c r="BF221"/>
  <c r="BD221"/>
  <c r="AX221"/>
  <c r="AP221"/>
  <c r="BI221" s="1"/>
  <c r="AE221" s="1"/>
  <c r="AO221"/>
  <c r="AW221" s="1"/>
  <c r="AL221"/>
  <c r="AJ221"/>
  <c r="AH221"/>
  <c r="AG221"/>
  <c r="AF221"/>
  <c r="AD221"/>
  <c r="AC221"/>
  <c r="AB221"/>
  <c r="Z221"/>
  <c r="H221"/>
  <c r="BJ220"/>
  <c r="BF220"/>
  <c r="BD220"/>
  <c r="AW220"/>
  <c r="AP220"/>
  <c r="AX220" s="1"/>
  <c r="AO220"/>
  <c r="BH220" s="1"/>
  <c r="AD220" s="1"/>
  <c r="AL220"/>
  <c r="AJ220"/>
  <c r="AH220"/>
  <c r="AG220"/>
  <c r="AF220"/>
  <c r="AC220"/>
  <c r="AB220"/>
  <c r="Z220"/>
  <c r="H220"/>
  <c r="AK220" s="1"/>
  <c r="AU219"/>
  <c r="BJ218"/>
  <c r="Z218" s="1"/>
  <c r="BF218"/>
  <c r="BD218"/>
  <c r="AX218"/>
  <c r="AV218"/>
  <c r="AP218"/>
  <c r="BI218" s="1"/>
  <c r="AO218"/>
  <c r="AW218" s="1"/>
  <c r="BC218" s="1"/>
  <c r="AL218"/>
  <c r="AK218"/>
  <c r="AJ218"/>
  <c r="AH218"/>
  <c r="AG218"/>
  <c r="AF218"/>
  <c r="AE218"/>
  <c r="AD218"/>
  <c r="AC218"/>
  <c r="AB218"/>
  <c r="H218"/>
  <c r="BJ217"/>
  <c r="BI217"/>
  <c r="BF217"/>
  <c r="BD217"/>
  <c r="AW217"/>
  <c r="AV217" s="1"/>
  <c r="AP217"/>
  <c r="AX217" s="1"/>
  <c r="BC217" s="1"/>
  <c r="AO217"/>
  <c r="BH217" s="1"/>
  <c r="AD217" s="1"/>
  <c r="AL217"/>
  <c r="AJ217"/>
  <c r="AH217"/>
  <c r="AG217"/>
  <c r="AF217"/>
  <c r="AE217"/>
  <c r="AC217"/>
  <c r="AB217"/>
  <c r="Z217"/>
  <c r="H217"/>
  <c r="AK217" s="1"/>
  <c r="BJ216"/>
  <c r="BH216"/>
  <c r="BF216"/>
  <c r="BD216"/>
  <c r="AX216"/>
  <c r="AP216"/>
  <c r="BI216" s="1"/>
  <c r="AE216" s="1"/>
  <c r="AO216"/>
  <c r="AW216" s="1"/>
  <c r="AL216"/>
  <c r="AJ216"/>
  <c r="AH216"/>
  <c r="AG216"/>
  <c r="AF216"/>
  <c r="AD216"/>
  <c r="AC216"/>
  <c r="AB216"/>
  <c r="Z216"/>
  <c r="H216"/>
  <c r="AK216" s="1"/>
  <c r="BJ215"/>
  <c r="BF215"/>
  <c r="BD215"/>
  <c r="AW215"/>
  <c r="AP215"/>
  <c r="AX215" s="1"/>
  <c r="AO215"/>
  <c r="BH215" s="1"/>
  <c r="AD215" s="1"/>
  <c r="AL215"/>
  <c r="AJ215"/>
  <c r="AH215"/>
  <c r="AG215"/>
  <c r="AF215"/>
  <c r="AC215"/>
  <c r="AB215"/>
  <c r="Z215"/>
  <c r="H215"/>
  <c r="AK215" s="1"/>
  <c r="BJ213"/>
  <c r="BF213"/>
  <c r="BD213"/>
  <c r="AX213"/>
  <c r="AV213"/>
  <c r="AP213"/>
  <c r="BI213" s="1"/>
  <c r="AE213" s="1"/>
  <c r="AO213"/>
  <c r="AW213" s="1"/>
  <c r="BC213" s="1"/>
  <c r="AL213"/>
  <c r="AK213"/>
  <c r="AJ213"/>
  <c r="AH213"/>
  <c r="AG213"/>
  <c r="AF213"/>
  <c r="AC213"/>
  <c r="AB213"/>
  <c r="Z213"/>
  <c r="H213"/>
  <c r="BJ212"/>
  <c r="BF212"/>
  <c r="BD212"/>
  <c r="AW212"/>
  <c r="AP212"/>
  <c r="AX212" s="1"/>
  <c r="BC212" s="1"/>
  <c r="AO212"/>
  <c r="BH212" s="1"/>
  <c r="AD212" s="1"/>
  <c r="AL212"/>
  <c r="AJ212"/>
  <c r="AH212"/>
  <c r="AG212"/>
  <c r="AF212"/>
  <c r="AC212"/>
  <c r="AB212"/>
  <c r="Z212"/>
  <c r="H212"/>
  <c r="AK212" s="1"/>
  <c r="BJ211"/>
  <c r="BH211"/>
  <c r="BF211"/>
  <c r="BD211"/>
  <c r="AX211"/>
  <c r="AP211"/>
  <c r="BI211" s="1"/>
  <c r="AE211" s="1"/>
  <c r="AO211"/>
  <c r="AW211" s="1"/>
  <c r="AL211"/>
  <c r="AJ211"/>
  <c r="AH211"/>
  <c r="AG211"/>
  <c r="AF211"/>
  <c r="AD211"/>
  <c r="AC211"/>
  <c r="AB211"/>
  <c r="Z211"/>
  <c r="H211"/>
  <c r="AK211" s="1"/>
  <c r="BJ210"/>
  <c r="BF210"/>
  <c r="BD210"/>
  <c r="AW210"/>
  <c r="AP210"/>
  <c r="AX210" s="1"/>
  <c r="AO210"/>
  <c r="BH210" s="1"/>
  <c r="AD210" s="1"/>
  <c r="AL210"/>
  <c r="AJ210"/>
  <c r="AH210"/>
  <c r="AG210"/>
  <c r="AF210"/>
  <c r="AC210"/>
  <c r="AB210"/>
  <c r="Z210"/>
  <c r="H210"/>
  <c r="AK210" s="1"/>
  <c r="BJ209"/>
  <c r="BF209"/>
  <c r="BD209"/>
  <c r="AX209"/>
  <c r="AV209"/>
  <c r="AP209"/>
  <c r="BI209" s="1"/>
  <c r="AE209" s="1"/>
  <c r="AO209"/>
  <c r="AW209" s="1"/>
  <c r="BC209" s="1"/>
  <c r="AL209"/>
  <c r="AK209"/>
  <c r="AJ209"/>
  <c r="AH209"/>
  <c r="AG209"/>
  <c r="AF209"/>
  <c r="AC209"/>
  <c r="AB209"/>
  <c r="Z209"/>
  <c r="H209"/>
  <c r="BJ208"/>
  <c r="BI208"/>
  <c r="BF208"/>
  <c r="BD208"/>
  <c r="BC208"/>
  <c r="AW208"/>
  <c r="AV208" s="1"/>
  <c r="AP208"/>
  <c r="AX208" s="1"/>
  <c r="AO208"/>
  <c r="BH208" s="1"/>
  <c r="AD208" s="1"/>
  <c r="AL208"/>
  <c r="AJ208"/>
  <c r="AH208"/>
  <c r="AG208"/>
  <c r="AF208"/>
  <c r="AE208"/>
  <c r="AC208"/>
  <c r="AB208"/>
  <c r="Z208"/>
  <c r="H208"/>
  <c r="AK208" s="1"/>
  <c r="BJ207"/>
  <c r="BH207"/>
  <c r="AD207" s="1"/>
  <c r="BF207"/>
  <c r="BD207"/>
  <c r="AX207"/>
  <c r="AP207"/>
  <c r="BI207" s="1"/>
  <c r="AE207" s="1"/>
  <c r="AO207"/>
  <c r="AW207" s="1"/>
  <c r="AL207"/>
  <c r="AJ207"/>
  <c r="AH207"/>
  <c r="AG207"/>
  <c r="AF207"/>
  <c r="AC207"/>
  <c r="AB207"/>
  <c r="Z207"/>
  <c r="H207"/>
  <c r="BJ206"/>
  <c r="BF206"/>
  <c r="BD206"/>
  <c r="AW206"/>
  <c r="AP206"/>
  <c r="AX206" s="1"/>
  <c r="AO206"/>
  <c r="BH206" s="1"/>
  <c r="AD206" s="1"/>
  <c r="AL206"/>
  <c r="AK206"/>
  <c r="AJ206"/>
  <c r="AH206"/>
  <c r="AG206"/>
  <c r="AF206"/>
  <c r="AC206"/>
  <c r="AB206"/>
  <c r="Z206"/>
  <c r="H206"/>
  <c r="BJ205"/>
  <c r="BF205"/>
  <c r="BD205"/>
  <c r="AP205"/>
  <c r="AX205" s="1"/>
  <c r="AO205"/>
  <c r="AW205" s="1"/>
  <c r="AL205"/>
  <c r="AK205"/>
  <c r="AJ205"/>
  <c r="AH205"/>
  <c r="AG205"/>
  <c r="AF205"/>
  <c r="AC205"/>
  <c r="AB205"/>
  <c r="Z205"/>
  <c r="H205"/>
  <c r="BJ203"/>
  <c r="BF203"/>
  <c r="BD203"/>
  <c r="BC203"/>
  <c r="AP203"/>
  <c r="AX203" s="1"/>
  <c r="AO203"/>
  <c r="AW203" s="1"/>
  <c r="AL203"/>
  <c r="AJ203"/>
  <c r="AS201" s="1"/>
  <c r="AH203"/>
  <c r="AG203"/>
  <c r="AF203"/>
  <c r="AC203"/>
  <c r="AB203"/>
  <c r="Z203"/>
  <c r="H203"/>
  <c r="AK203" s="1"/>
  <c r="BJ202"/>
  <c r="BF202"/>
  <c r="BD202"/>
  <c r="AX202"/>
  <c r="AP202"/>
  <c r="BI202" s="1"/>
  <c r="AE202" s="1"/>
  <c r="AO202"/>
  <c r="AW202" s="1"/>
  <c r="AL202"/>
  <c r="AJ202"/>
  <c r="AH202"/>
  <c r="AG202"/>
  <c r="AF202"/>
  <c r="AC202"/>
  <c r="AB202"/>
  <c r="Z202"/>
  <c r="H202"/>
  <c r="AK202" s="1"/>
  <c r="AU201"/>
  <c r="H201"/>
  <c r="BJ200"/>
  <c r="Z200" s="1"/>
  <c r="BF200"/>
  <c r="BD200"/>
  <c r="AW200"/>
  <c r="AP200"/>
  <c r="AX200" s="1"/>
  <c r="AO200"/>
  <c r="BH200" s="1"/>
  <c r="AL200"/>
  <c r="AK200"/>
  <c r="AJ200"/>
  <c r="AH200"/>
  <c r="AG200"/>
  <c r="AF200"/>
  <c r="AE200"/>
  <c r="AD200"/>
  <c r="AC200"/>
  <c r="AB200"/>
  <c r="H200"/>
  <c r="BJ199"/>
  <c r="BF199"/>
  <c r="BD199"/>
  <c r="AV199"/>
  <c r="AP199"/>
  <c r="AX199" s="1"/>
  <c r="AO199"/>
  <c r="AW199" s="1"/>
  <c r="AL199"/>
  <c r="AK199"/>
  <c r="AJ199"/>
  <c r="AH199"/>
  <c r="AG199"/>
  <c r="AF199"/>
  <c r="AC199"/>
  <c r="AB199"/>
  <c r="Z199"/>
  <c r="H199"/>
  <c r="BJ198"/>
  <c r="BF198"/>
  <c r="BD198"/>
  <c r="AP198"/>
  <c r="AX198" s="1"/>
  <c r="AO198"/>
  <c r="AW198" s="1"/>
  <c r="AV198" s="1"/>
  <c r="AL198"/>
  <c r="AJ198"/>
  <c r="AH198"/>
  <c r="AG198"/>
  <c r="AF198"/>
  <c r="AC198"/>
  <c r="AB198"/>
  <c r="Z198"/>
  <c r="H198"/>
  <c r="AK198" s="1"/>
  <c r="BJ197"/>
  <c r="BH197"/>
  <c r="AD197" s="1"/>
  <c r="BF197"/>
  <c r="BD197"/>
  <c r="AX197"/>
  <c r="AP197"/>
  <c r="BI197" s="1"/>
  <c r="AE197" s="1"/>
  <c r="AO197"/>
  <c r="AW197" s="1"/>
  <c r="AL197"/>
  <c r="AJ197"/>
  <c r="AH197"/>
  <c r="AG197"/>
  <c r="AF197"/>
  <c r="AC197"/>
  <c r="AB197"/>
  <c r="Z197"/>
  <c r="H197"/>
  <c r="AK197" s="1"/>
  <c r="BJ196"/>
  <c r="BF196"/>
  <c r="BD196"/>
  <c r="AW196"/>
  <c r="AP196"/>
  <c r="AX196" s="1"/>
  <c r="AO196"/>
  <c r="BH196" s="1"/>
  <c r="AD196" s="1"/>
  <c r="AL196"/>
  <c r="AK196"/>
  <c r="AJ196"/>
  <c r="AH196"/>
  <c r="AG196"/>
  <c r="AF196"/>
  <c r="AC196"/>
  <c r="AB196"/>
  <c r="Z196"/>
  <c r="H196"/>
  <c r="BJ195"/>
  <c r="BF195"/>
  <c r="BD195"/>
  <c r="AP195"/>
  <c r="AX195" s="1"/>
  <c r="AO195"/>
  <c r="AW195" s="1"/>
  <c r="AL195"/>
  <c r="AK195"/>
  <c r="AJ195"/>
  <c r="AH195"/>
  <c r="AG195"/>
  <c r="AF195"/>
  <c r="AC195"/>
  <c r="AB195"/>
  <c r="Z195"/>
  <c r="H195"/>
  <c r="BJ194"/>
  <c r="BF194"/>
  <c r="BD194"/>
  <c r="BC194"/>
  <c r="AP194"/>
  <c r="AX194" s="1"/>
  <c r="AO194"/>
  <c r="AW194" s="1"/>
  <c r="AL194"/>
  <c r="AJ194"/>
  <c r="AH194"/>
  <c r="AG194"/>
  <c r="AF194"/>
  <c r="AC194"/>
  <c r="AB194"/>
  <c r="Z194"/>
  <c r="H194"/>
  <c r="AK194" s="1"/>
  <c r="BJ193"/>
  <c r="BH193"/>
  <c r="BF193"/>
  <c r="BD193"/>
  <c r="AX193"/>
  <c r="AP193"/>
  <c r="BI193" s="1"/>
  <c r="AE193" s="1"/>
  <c r="AO193"/>
  <c r="AW193" s="1"/>
  <c r="AL193"/>
  <c r="AJ193"/>
  <c r="AH193"/>
  <c r="AG193"/>
  <c r="AF193"/>
  <c r="AD193"/>
  <c r="AC193"/>
  <c r="AB193"/>
  <c r="Z193"/>
  <c r="H193"/>
  <c r="AK193" s="1"/>
  <c r="BJ192"/>
  <c r="BF192"/>
  <c r="BD192"/>
  <c r="AW192"/>
  <c r="AP192"/>
  <c r="AX192" s="1"/>
  <c r="AO192"/>
  <c r="BH192" s="1"/>
  <c r="AD192" s="1"/>
  <c r="AL192"/>
  <c r="AK192"/>
  <c r="AJ192"/>
  <c r="AH192"/>
  <c r="AG192"/>
  <c r="AF192"/>
  <c r="AC192"/>
  <c r="AB192"/>
  <c r="Z192"/>
  <c r="H192"/>
  <c r="BJ191"/>
  <c r="BF191"/>
  <c r="BD191"/>
  <c r="AV191"/>
  <c r="AP191"/>
  <c r="AX191" s="1"/>
  <c r="AO191"/>
  <c r="AW191" s="1"/>
  <c r="AL191"/>
  <c r="AK191"/>
  <c r="AJ191"/>
  <c r="AH191"/>
  <c r="AG191"/>
  <c r="AF191"/>
  <c r="AC191"/>
  <c r="AB191"/>
  <c r="Z191"/>
  <c r="H191"/>
  <c r="BJ190"/>
  <c r="BF190"/>
  <c r="BD190"/>
  <c r="AP190"/>
  <c r="AX190" s="1"/>
  <c r="AO190"/>
  <c r="AW190" s="1"/>
  <c r="AV190" s="1"/>
  <c r="AL190"/>
  <c r="AJ190"/>
  <c r="AH190"/>
  <c r="AG190"/>
  <c r="AF190"/>
  <c r="AC190"/>
  <c r="AB190"/>
  <c r="Z190"/>
  <c r="H190"/>
  <c r="AK190" s="1"/>
  <c r="BJ189"/>
  <c r="BH189"/>
  <c r="AD189" s="1"/>
  <c r="BF189"/>
  <c r="BD189"/>
  <c r="AX189"/>
  <c r="AP189"/>
  <c r="BI189" s="1"/>
  <c r="AE189" s="1"/>
  <c r="AO189"/>
  <c r="AW189" s="1"/>
  <c r="AL189"/>
  <c r="AJ189"/>
  <c r="AH189"/>
  <c r="AG189"/>
  <c r="AF189"/>
  <c r="AC189"/>
  <c r="AB189"/>
  <c r="Z189"/>
  <c r="H189"/>
  <c r="AK189" s="1"/>
  <c r="BJ188"/>
  <c r="BF188"/>
  <c r="BD188"/>
  <c r="AW188"/>
  <c r="AP188"/>
  <c r="AX188" s="1"/>
  <c r="AO188"/>
  <c r="BH188" s="1"/>
  <c r="AD188" s="1"/>
  <c r="AL188"/>
  <c r="AK188"/>
  <c r="AJ188"/>
  <c r="AH188"/>
  <c r="AG188"/>
  <c r="AF188"/>
  <c r="AC188"/>
  <c r="AB188"/>
  <c r="Z188"/>
  <c r="H188"/>
  <c r="BJ187"/>
  <c r="BF187"/>
  <c r="BD187"/>
  <c r="AP187"/>
  <c r="AX187" s="1"/>
  <c r="AO187"/>
  <c r="AW187" s="1"/>
  <c r="AL187"/>
  <c r="AK187"/>
  <c r="AJ187"/>
  <c r="AH187"/>
  <c r="AG187"/>
  <c r="AF187"/>
  <c r="AC187"/>
  <c r="AB187"/>
  <c r="Z187"/>
  <c r="H187"/>
  <c r="BJ186"/>
  <c r="BF186"/>
  <c r="BD186"/>
  <c r="BC186"/>
  <c r="AP186"/>
  <c r="AX186" s="1"/>
  <c r="AO186"/>
  <c r="AW186" s="1"/>
  <c r="AL186"/>
  <c r="AJ186"/>
  <c r="AH186"/>
  <c r="AG186"/>
  <c r="AF186"/>
  <c r="AC186"/>
  <c r="AB186"/>
  <c r="Z186"/>
  <c r="H186"/>
  <c r="AK186" s="1"/>
  <c r="BJ185"/>
  <c r="BH185"/>
  <c r="BF185"/>
  <c r="BD185"/>
  <c r="AX185"/>
  <c r="AP185"/>
  <c r="BI185" s="1"/>
  <c r="AE185" s="1"/>
  <c r="AO185"/>
  <c r="AW185" s="1"/>
  <c r="AL185"/>
  <c r="AJ185"/>
  <c r="AH185"/>
  <c r="AG185"/>
  <c r="AF185"/>
  <c r="AD185"/>
  <c r="AC185"/>
  <c r="AB185"/>
  <c r="Z185"/>
  <c r="H185"/>
  <c r="AK185" s="1"/>
  <c r="BJ184"/>
  <c r="BF184"/>
  <c r="BD184"/>
  <c r="AW184"/>
  <c r="AP184"/>
  <c r="AX184" s="1"/>
  <c r="AO184"/>
  <c r="BH184" s="1"/>
  <c r="AD184" s="1"/>
  <c r="AL184"/>
  <c r="AK184"/>
  <c r="AJ184"/>
  <c r="AH184"/>
  <c r="AG184"/>
  <c r="AF184"/>
  <c r="AC184"/>
  <c r="AB184"/>
  <c r="Z184"/>
  <c r="H184"/>
  <c r="BJ183"/>
  <c r="BF183"/>
  <c r="BD183"/>
  <c r="AV183"/>
  <c r="AP183"/>
  <c r="AX183" s="1"/>
  <c r="AO183"/>
  <c r="AW183" s="1"/>
  <c r="AL183"/>
  <c r="AK183"/>
  <c r="AJ183"/>
  <c r="AH183"/>
  <c r="AG183"/>
  <c r="AF183"/>
  <c r="AC183"/>
  <c r="AB183"/>
  <c r="Z183"/>
  <c r="H183"/>
  <c r="BJ182"/>
  <c r="BF182"/>
  <c r="BD182"/>
  <c r="AP182"/>
  <c r="AX182" s="1"/>
  <c r="AO182"/>
  <c r="AW182" s="1"/>
  <c r="AV182" s="1"/>
  <c r="AL182"/>
  <c r="AJ182"/>
  <c r="AH182"/>
  <c r="AG182"/>
  <c r="AF182"/>
  <c r="AC182"/>
  <c r="AB182"/>
  <c r="Z182"/>
  <c r="H182"/>
  <c r="AK182" s="1"/>
  <c r="BJ180"/>
  <c r="BH180"/>
  <c r="AD180" s="1"/>
  <c r="BF180"/>
  <c r="BD180"/>
  <c r="AX180"/>
  <c r="AP180"/>
  <c r="BI180" s="1"/>
  <c r="AE180" s="1"/>
  <c r="AO180"/>
  <c r="AW180" s="1"/>
  <c r="AL180"/>
  <c r="AJ180"/>
  <c r="AH180"/>
  <c r="AG180"/>
  <c r="AF180"/>
  <c r="AC180"/>
  <c r="AB180"/>
  <c r="Z180"/>
  <c r="H180"/>
  <c r="AK180" s="1"/>
  <c r="BJ179"/>
  <c r="BF179"/>
  <c r="BD179"/>
  <c r="AW179"/>
  <c r="AP179"/>
  <c r="AX179" s="1"/>
  <c r="AO179"/>
  <c r="BH179" s="1"/>
  <c r="AD179" s="1"/>
  <c r="AL179"/>
  <c r="AK179"/>
  <c r="AJ179"/>
  <c r="AH179"/>
  <c r="AG179"/>
  <c r="AF179"/>
  <c r="AC179"/>
  <c r="AB179"/>
  <c r="Z179"/>
  <c r="H179"/>
  <c r="BJ178"/>
  <c r="BF178"/>
  <c r="BD178"/>
  <c r="AP178"/>
  <c r="AX178" s="1"/>
  <c r="AO178"/>
  <c r="AW178" s="1"/>
  <c r="AL178"/>
  <c r="AK178"/>
  <c r="AJ178"/>
  <c r="AH178"/>
  <c r="AG178"/>
  <c r="AF178"/>
  <c r="AC178"/>
  <c r="AB178"/>
  <c r="Z178"/>
  <c r="H178"/>
  <c r="BJ177"/>
  <c r="BF177"/>
  <c r="BD177"/>
  <c r="BC177"/>
  <c r="AP177"/>
  <c r="AX177" s="1"/>
  <c r="AO177"/>
  <c r="AW177" s="1"/>
  <c r="AL177"/>
  <c r="AJ177"/>
  <c r="AH177"/>
  <c r="AG177"/>
  <c r="AF177"/>
  <c r="AC177"/>
  <c r="AB177"/>
  <c r="Z177"/>
  <c r="H177"/>
  <c r="AK177" s="1"/>
  <c r="BJ176"/>
  <c r="BH176"/>
  <c r="BF176"/>
  <c r="BD176"/>
  <c r="AX176"/>
  <c r="AP176"/>
  <c r="BI176" s="1"/>
  <c r="AE176" s="1"/>
  <c r="AO176"/>
  <c r="AW176" s="1"/>
  <c r="AL176"/>
  <c r="AJ176"/>
  <c r="AH176"/>
  <c r="AG176"/>
  <c r="AF176"/>
  <c r="AD176"/>
  <c r="AC176"/>
  <c r="AB176"/>
  <c r="Z176"/>
  <c r="H176"/>
  <c r="AK176" s="1"/>
  <c r="BJ175"/>
  <c r="BF175"/>
  <c r="BD175"/>
  <c r="AW175"/>
  <c r="AP175"/>
  <c r="AX175" s="1"/>
  <c r="AO175"/>
  <c r="BH175" s="1"/>
  <c r="AD175" s="1"/>
  <c r="AL175"/>
  <c r="AU171" s="1"/>
  <c r="AK175"/>
  <c r="AJ175"/>
  <c r="AH175"/>
  <c r="AG175"/>
  <c r="AF175"/>
  <c r="AC175"/>
  <c r="AB175"/>
  <c r="Z175"/>
  <c r="H175"/>
  <c r="BJ174"/>
  <c r="BF174"/>
  <c r="BD174"/>
  <c r="AV174"/>
  <c r="AP174"/>
  <c r="AX174" s="1"/>
  <c r="AO174"/>
  <c r="AW174" s="1"/>
  <c r="AL174"/>
  <c r="AK174"/>
  <c r="AJ174"/>
  <c r="AH174"/>
  <c r="AG174"/>
  <c r="AF174"/>
  <c r="AC174"/>
  <c r="AB174"/>
  <c r="Z174"/>
  <c r="H174"/>
  <c r="BJ173"/>
  <c r="BF173"/>
  <c r="BD173"/>
  <c r="AP173"/>
  <c r="AX173" s="1"/>
  <c r="AO173"/>
  <c r="AW173" s="1"/>
  <c r="AV173" s="1"/>
  <c r="AL173"/>
  <c r="AJ173"/>
  <c r="AH173"/>
  <c r="AG173"/>
  <c r="AF173"/>
  <c r="AC173"/>
  <c r="AB173"/>
  <c r="Z173"/>
  <c r="H173"/>
  <c r="AK173" s="1"/>
  <c r="BJ172"/>
  <c r="BH172"/>
  <c r="AD172" s="1"/>
  <c r="BF172"/>
  <c r="BD172"/>
  <c r="AX172"/>
  <c r="AP172"/>
  <c r="BI172" s="1"/>
  <c r="AE172" s="1"/>
  <c r="AO172"/>
  <c r="AW172" s="1"/>
  <c r="AL172"/>
  <c r="AJ172"/>
  <c r="AH172"/>
  <c r="AG172"/>
  <c r="AF172"/>
  <c r="AC172"/>
  <c r="AB172"/>
  <c r="Z172"/>
  <c r="H172"/>
  <c r="AK172" s="1"/>
  <c r="H171"/>
  <c r="BJ170"/>
  <c r="Z170" s="1"/>
  <c r="BF170"/>
  <c r="BD170"/>
  <c r="AW170"/>
  <c r="AP170"/>
  <c r="AX170" s="1"/>
  <c r="AO170"/>
  <c r="BH170" s="1"/>
  <c r="AL170"/>
  <c r="AK170"/>
  <c r="AJ170"/>
  <c r="AH170"/>
  <c r="AG170"/>
  <c r="AF170"/>
  <c r="AE170"/>
  <c r="AD170"/>
  <c r="AC170"/>
  <c r="AB170"/>
  <c r="H170"/>
  <c r="BJ169"/>
  <c r="BF169"/>
  <c r="BD169"/>
  <c r="AV169"/>
  <c r="AP169"/>
  <c r="AX169" s="1"/>
  <c r="AO169"/>
  <c r="AW169" s="1"/>
  <c r="AL169"/>
  <c r="AK169"/>
  <c r="AJ169"/>
  <c r="AH169"/>
  <c r="AG169"/>
  <c r="AF169"/>
  <c r="AC169"/>
  <c r="AB169"/>
  <c r="Z169"/>
  <c r="H169"/>
  <c r="BJ168"/>
  <c r="BF168"/>
  <c r="BD168"/>
  <c r="AP168"/>
  <c r="AX168" s="1"/>
  <c r="AO168"/>
  <c r="AW168" s="1"/>
  <c r="AV168" s="1"/>
  <c r="AL168"/>
  <c r="AJ168"/>
  <c r="AH168"/>
  <c r="AG168"/>
  <c r="AF168"/>
  <c r="AC168"/>
  <c r="AB168"/>
  <c r="Z168"/>
  <c r="H168"/>
  <c r="AK168" s="1"/>
  <c r="BJ167"/>
  <c r="BH167"/>
  <c r="AD167" s="1"/>
  <c r="BF167"/>
  <c r="BD167"/>
  <c r="AX167"/>
  <c r="AP167"/>
  <c r="BI167" s="1"/>
  <c r="AE167" s="1"/>
  <c r="AO167"/>
  <c r="AW167" s="1"/>
  <c r="AL167"/>
  <c r="AJ167"/>
  <c r="AH167"/>
  <c r="AG167"/>
  <c r="AF167"/>
  <c r="AC167"/>
  <c r="AB167"/>
  <c r="Z167"/>
  <c r="H167"/>
  <c r="AK167" s="1"/>
  <c r="BJ166"/>
  <c r="BF166"/>
  <c r="BD166"/>
  <c r="AW166"/>
  <c r="AP166"/>
  <c r="AX166" s="1"/>
  <c r="AO166"/>
  <c r="BH166" s="1"/>
  <c r="AD166" s="1"/>
  <c r="AL166"/>
  <c r="AK166"/>
  <c r="AJ166"/>
  <c r="AH166"/>
  <c r="AG166"/>
  <c r="AF166"/>
  <c r="AC166"/>
  <c r="AB166"/>
  <c r="Z166"/>
  <c r="H166"/>
  <c r="BJ165"/>
  <c r="BF165"/>
  <c r="BD165"/>
  <c r="AP165"/>
  <c r="AX165" s="1"/>
  <c r="AO165"/>
  <c r="AW165" s="1"/>
  <c r="AL165"/>
  <c r="AK165"/>
  <c r="AJ165"/>
  <c r="AH165"/>
  <c r="AG165"/>
  <c r="AF165"/>
  <c r="AC165"/>
  <c r="AB165"/>
  <c r="Z165"/>
  <c r="H165"/>
  <c r="BJ164"/>
  <c r="BF164"/>
  <c r="BD164"/>
  <c r="BC164"/>
  <c r="AP164"/>
  <c r="AX164" s="1"/>
  <c r="AO164"/>
  <c r="AW164" s="1"/>
  <c r="AL164"/>
  <c r="AJ164"/>
  <c r="AH164"/>
  <c r="AG164"/>
  <c r="AF164"/>
  <c r="AC164"/>
  <c r="AB164"/>
  <c r="Z164"/>
  <c r="H164"/>
  <c r="AK164" s="1"/>
  <c r="BJ163"/>
  <c r="BH163"/>
  <c r="BF163"/>
  <c r="BD163"/>
  <c r="AX163"/>
  <c r="AP163"/>
  <c r="BI163" s="1"/>
  <c r="AE163" s="1"/>
  <c r="AO163"/>
  <c r="AW163" s="1"/>
  <c r="AL163"/>
  <c r="AJ163"/>
  <c r="AH163"/>
  <c r="AG163"/>
  <c r="AF163"/>
  <c r="AD163"/>
  <c r="AC163"/>
  <c r="AB163"/>
  <c r="Z163"/>
  <c r="H163"/>
  <c r="BJ162"/>
  <c r="BF162"/>
  <c r="BD162"/>
  <c r="AW162"/>
  <c r="AP162"/>
  <c r="AX162" s="1"/>
  <c r="AO162"/>
  <c r="BH162" s="1"/>
  <c r="AD162" s="1"/>
  <c r="AL162"/>
  <c r="AU159" s="1"/>
  <c r="AK162"/>
  <c r="AJ162"/>
  <c r="AH162"/>
  <c r="AG162"/>
  <c r="AF162"/>
  <c r="AC162"/>
  <c r="AB162"/>
  <c r="Z162"/>
  <c r="H162"/>
  <c r="BJ161"/>
  <c r="BF161"/>
  <c r="BD161"/>
  <c r="AV161"/>
  <c r="AP161"/>
  <c r="AX161" s="1"/>
  <c r="AO161"/>
  <c r="AW161" s="1"/>
  <c r="AL161"/>
  <c r="AK161"/>
  <c r="AJ161"/>
  <c r="AH161"/>
  <c r="AG161"/>
  <c r="AF161"/>
  <c r="AC161"/>
  <c r="AB161"/>
  <c r="Z161"/>
  <c r="H161"/>
  <c r="BJ160"/>
  <c r="BF160"/>
  <c r="BD160"/>
  <c r="AP160"/>
  <c r="AX160" s="1"/>
  <c r="AO160"/>
  <c r="AW160" s="1"/>
  <c r="AV160" s="1"/>
  <c r="AL160"/>
  <c r="AJ160"/>
  <c r="AS159" s="1"/>
  <c r="AH160"/>
  <c r="AG160"/>
  <c r="AF160"/>
  <c r="AC160"/>
  <c r="AB160"/>
  <c r="Z160"/>
  <c r="H160"/>
  <c r="AK160" s="1"/>
  <c r="BJ158"/>
  <c r="BH158"/>
  <c r="BF158"/>
  <c r="BD158"/>
  <c r="AX158"/>
  <c r="AP158"/>
  <c r="BI158" s="1"/>
  <c r="AO158"/>
  <c r="AW158" s="1"/>
  <c r="AL158"/>
  <c r="AJ158"/>
  <c r="AH158"/>
  <c r="AG158"/>
  <c r="AF158"/>
  <c r="AE158"/>
  <c r="AD158"/>
  <c r="AC158"/>
  <c r="AB158"/>
  <c r="Z158"/>
  <c r="H158"/>
  <c r="AK158" s="1"/>
  <c r="BJ157"/>
  <c r="BF157"/>
  <c r="BD157"/>
  <c r="AW157"/>
  <c r="AP157"/>
  <c r="AX157" s="1"/>
  <c r="AO157"/>
  <c r="BH157" s="1"/>
  <c r="AD157" s="1"/>
  <c r="AL157"/>
  <c r="AK157"/>
  <c r="AJ157"/>
  <c r="AH157"/>
  <c r="AG157"/>
  <c r="AF157"/>
  <c r="AC157"/>
  <c r="AB157"/>
  <c r="Z157"/>
  <c r="H157"/>
  <c r="BJ156"/>
  <c r="BF156"/>
  <c r="BD156"/>
  <c r="AV156"/>
  <c r="AP156"/>
  <c r="AX156" s="1"/>
  <c r="AO156"/>
  <c r="AW156" s="1"/>
  <c r="AL156"/>
  <c r="AK156"/>
  <c r="AJ156"/>
  <c r="AH156"/>
  <c r="AG156"/>
  <c r="AF156"/>
  <c r="AC156"/>
  <c r="AB156"/>
  <c r="Z156"/>
  <c r="H156"/>
  <c r="BJ154"/>
  <c r="BF154"/>
  <c r="BD154"/>
  <c r="AP154"/>
  <c r="AX154" s="1"/>
  <c r="AO154"/>
  <c r="AW154" s="1"/>
  <c r="AV154" s="1"/>
  <c r="AL154"/>
  <c r="AJ154"/>
  <c r="AH154"/>
  <c r="AE154"/>
  <c r="AD154"/>
  <c r="AC154"/>
  <c r="AB154"/>
  <c r="Z154"/>
  <c r="H154"/>
  <c r="AK154" s="1"/>
  <c r="BJ153"/>
  <c r="BF153"/>
  <c r="BD153"/>
  <c r="AX153"/>
  <c r="AP153"/>
  <c r="BI153" s="1"/>
  <c r="AE153" s="1"/>
  <c r="AO153"/>
  <c r="AW153" s="1"/>
  <c r="AL153"/>
  <c r="AJ153"/>
  <c r="AH153"/>
  <c r="AG153"/>
  <c r="AF153"/>
  <c r="AC153"/>
  <c r="AB153"/>
  <c r="Z153"/>
  <c r="H153"/>
  <c r="AK153" s="1"/>
  <c r="BJ152"/>
  <c r="BF152"/>
  <c r="BD152"/>
  <c r="AW152"/>
  <c r="AP152"/>
  <c r="AX152" s="1"/>
  <c r="AO152"/>
  <c r="BH152" s="1"/>
  <c r="AD152" s="1"/>
  <c r="AL152"/>
  <c r="AK152"/>
  <c r="AJ152"/>
  <c r="AH152"/>
  <c r="AG152"/>
  <c r="AF152"/>
  <c r="AC152"/>
  <c r="AB152"/>
  <c r="Z152"/>
  <c r="H152"/>
  <c r="BJ151"/>
  <c r="BF151"/>
  <c r="BD151"/>
  <c r="AP151"/>
  <c r="AX151" s="1"/>
  <c r="AO151"/>
  <c r="AW151" s="1"/>
  <c r="BC151" s="1"/>
  <c r="AL151"/>
  <c r="AK151"/>
  <c r="AJ151"/>
  <c r="AH151"/>
  <c r="AG151"/>
  <c r="AF151"/>
  <c r="AC151"/>
  <c r="AB151"/>
  <c r="Z151"/>
  <c r="H151"/>
  <c r="BJ150"/>
  <c r="BF150"/>
  <c r="BD150"/>
  <c r="AP150"/>
  <c r="AX150" s="1"/>
  <c r="AO150"/>
  <c r="AW150" s="1"/>
  <c r="AL150"/>
  <c r="AJ150"/>
  <c r="AH150"/>
  <c r="AG150"/>
  <c r="AF150"/>
  <c r="AC150"/>
  <c r="AB150"/>
  <c r="Z150"/>
  <c r="H150"/>
  <c r="AK150" s="1"/>
  <c r="BJ149"/>
  <c r="BH149"/>
  <c r="BF149"/>
  <c r="BD149"/>
  <c r="AX149"/>
  <c r="AP149"/>
  <c r="BI149" s="1"/>
  <c r="AE149" s="1"/>
  <c r="AO149"/>
  <c r="AW149" s="1"/>
  <c r="AL149"/>
  <c r="AJ149"/>
  <c r="AH149"/>
  <c r="AG149"/>
  <c r="AF149"/>
  <c r="AD149"/>
  <c r="AC149"/>
  <c r="AB149"/>
  <c r="Z149"/>
  <c r="H149"/>
  <c r="AK149" s="1"/>
  <c r="BJ148"/>
  <c r="BF148"/>
  <c r="BD148"/>
  <c r="AW148"/>
  <c r="AP148"/>
  <c r="AX148" s="1"/>
  <c r="AO148"/>
  <c r="BH148" s="1"/>
  <c r="AD148" s="1"/>
  <c r="AL148"/>
  <c r="AK148"/>
  <c r="AJ148"/>
  <c r="AH148"/>
  <c r="AG148"/>
  <c r="AF148"/>
  <c r="AC148"/>
  <c r="AB148"/>
  <c r="Z148"/>
  <c r="H148"/>
  <c r="BJ147"/>
  <c r="BI147"/>
  <c r="AE147" s="1"/>
  <c r="BF147"/>
  <c r="BD147"/>
  <c r="AP147"/>
  <c r="AX147" s="1"/>
  <c r="AO147"/>
  <c r="AW147" s="1"/>
  <c r="BC147" s="1"/>
  <c r="AL147"/>
  <c r="AK147"/>
  <c r="AJ147"/>
  <c r="AH147"/>
  <c r="AG147"/>
  <c r="AF147"/>
  <c r="AC147"/>
  <c r="AB147"/>
  <c r="Z147"/>
  <c r="H147"/>
  <c r="BJ146"/>
  <c r="BI146"/>
  <c r="AE146" s="1"/>
  <c r="BF146"/>
  <c r="BD146"/>
  <c r="AX146"/>
  <c r="AP146"/>
  <c r="AO146"/>
  <c r="AW146" s="1"/>
  <c r="AV146" s="1"/>
  <c r="AL146"/>
  <c r="AJ146"/>
  <c r="AS144" s="1"/>
  <c r="AH146"/>
  <c r="AG146"/>
  <c r="AF146"/>
  <c r="AC146"/>
  <c r="AB146"/>
  <c r="Z146"/>
  <c r="H146"/>
  <c r="AK146" s="1"/>
  <c r="BJ145"/>
  <c r="BH145"/>
  <c r="BF145"/>
  <c r="BD145"/>
  <c r="AX145"/>
  <c r="AW145"/>
  <c r="AP145"/>
  <c r="BI145" s="1"/>
  <c r="AE145" s="1"/>
  <c r="AO145"/>
  <c r="AL145"/>
  <c r="AU144" s="1"/>
  <c r="AJ145"/>
  <c r="AH145"/>
  <c r="AG145"/>
  <c r="AF145"/>
  <c r="AD145"/>
  <c r="AC145"/>
  <c r="AB145"/>
  <c r="Z145"/>
  <c r="H145"/>
  <c r="AK145" s="1"/>
  <c r="BJ143"/>
  <c r="Z143" s="1"/>
  <c r="BF143"/>
  <c r="BD143"/>
  <c r="AW143"/>
  <c r="AV143"/>
  <c r="AP143"/>
  <c r="AX143" s="1"/>
  <c r="AO143"/>
  <c r="BH143" s="1"/>
  <c r="AL143"/>
  <c r="AK143"/>
  <c r="AJ143"/>
  <c r="AH143"/>
  <c r="AG143"/>
  <c r="AF143"/>
  <c r="AE143"/>
  <c r="AD143"/>
  <c r="AC143"/>
  <c r="AB143"/>
  <c r="H143"/>
  <c r="BJ139"/>
  <c r="BF139"/>
  <c r="BD139"/>
  <c r="AP139"/>
  <c r="AX139" s="1"/>
  <c r="AO139"/>
  <c r="AW139" s="1"/>
  <c r="AV139" s="1"/>
  <c r="AL139"/>
  <c r="AK139"/>
  <c r="AJ139"/>
  <c r="AH139"/>
  <c r="AG139"/>
  <c r="AF139"/>
  <c r="AC139"/>
  <c r="AB139"/>
  <c r="Z139"/>
  <c r="H139"/>
  <c r="BJ134"/>
  <c r="BF134"/>
  <c r="BD134"/>
  <c r="AP134"/>
  <c r="AX134" s="1"/>
  <c r="AO134"/>
  <c r="AW134" s="1"/>
  <c r="AL134"/>
  <c r="AJ134"/>
  <c r="AH134"/>
  <c r="AG134"/>
  <c r="AF134"/>
  <c r="AC134"/>
  <c r="AB134"/>
  <c r="Z134"/>
  <c r="H134"/>
  <c r="AK134" s="1"/>
  <c r="BJ133"/>
  <c r="BF133"/>
  <c r="BD133"/>
  <c r="AX133"/>
  <c r="AP133"/>
  <c r="BI133" s="1"/>
  <c r="AE133" s="1"/>
  <c r="AO133"/>
  <c r="BH133" s="1"/>
  <c r="AD133" s="1"/>
  <c r="AL133"/>
  <c r="AU132" s="1"/>
  <c r="AJ133"/>
  <c r="AH133"/>
  <c r="AG133"/>
  <c r="AF133"/>
  <c r="AC133"/>
  <c r="AB133"/>
  <c r="Z133"/>
  <c r="H133"/>
  <c r="AK133" s="1"/>
  <c r="H132"/>
  <c r="BJ131"/>
  <c r="Z131" s="1"/>
  <c r="BF131"/>
  <c r="BD131"/>
  <c r="AW131"/>
  <c r="BC131" s="1"/>
  <c r="AP131"/>
  <c r="AX131" s="1"/>
  <c r="AO131"/>
  <c r="BH131" s="1"/>
  <c r="AL131"/>
  <c r="AU130" s="1"/>
  <c r="AK131"/>
  <c r="AJ131"/>
  <c r="AH131"/>
  <c r="AG131"/>
  <c r="AF131"/>
  <c r="AE131"/>
  <c r="AD131"/>
  <c r="AC131"/>
  <c r="AB131"/>
  <c r="H131"/>
  <c r="AT130"/>
  <c r="AS130"/>
  <c r="H130"/>
  <c r="BJ127"/>
  <c r="BI127"/>
  <c r="BF127"/>
  <c r="BD127"/>
  <c r="AV127"/>
  <c r="AP127"/>
  <c r="AX127" s="1"/>
  <c r="AO127"/>
  <c r="AW127" s="1"/>
  <c r="BC127" s="1"/>
  <c r="AL127"/>
  <c r="AK127"/>
  <c r="AJ127"/>
  <c r="AH127"/>
  <c r="AG127"/>
  <c r="AF127"/>
  <c r="AE127"/>
  <c r="AD127"/>
  <c r="AC127"/>
  <c r="AB127"/>
  <c r="Z127"/>
  <c r="H127"/>
  <c r="BJ125"/>
  <c r="BI125"/>
  <c r="BH125"/>
  <c r="BF125"/>
  <c r="BD125"/>
  <c r="BC125"/>
  <c r="AX125"/>
  <c r="AP125"/>
  <c r="AO125"/>
  <c r="AW125" s="1"/>
  <c r="AL125"/>
  <c r="AJ125"/>
  <c r="AH125"/>
  <c r="AG125"/>
  <c r="AF125"/>
  <c r="AE125"/>
  <c r="AD125"/>
  <c r="AC125"/>
  <c r="AB125"/>
  <c r="Z125"/>
  <c r="H125"/>
  <c r="AK125" s="1"/>
  <c r="BJ123"/>
  <c r="Z123" s="1"/>
  <c r="BH123"/>
  <c r="BF123"/>
  <c r="BD123"/>
  <c r="AX123"/>
  <c r="AW123"/>
  <c r="AP123"/>
  <c r="BI123" s="1"/>
  <c r="AO123"/>
  <c r="AL123"/>
  <c r="AJ123"/>
  <c r="AH123"/>
  <c r="AG123"/>
  <c r="AF123"/>
  <c r="AE123"/>
  <c r="AD123"/>
  <c r="AC123"/>
  <c r="AB123"/>
  <c r="H123"/>
  <c r="AK123" s="1"/>
  <c r="BJ122"/>
  <c r="BF122"/>
  <c r="BD122"/>
  <c r="AW122"/>
  <c r="AV122" s="1"/>
  <c r="AP122"/>
  <c r="AX122" s="1"/>
  <c r="BC122" s="1"/>
  <c r="AO122"/>
  <c r="BH122" s="1"/>
  <c r="AL122"/>
  <c r="AK122"/>
  <c r="AJ122"/>
  <c r="AH122"/>
  <c r="AG122"/>
  <c r="AF122"/>
  <c r="AE122"/>
  <c r="AD122"/>
  <c r="AC122"/>
  <c r="AB122"/>
  <c r="Z122"/>
  <c r="H122"/>
  <c r="BJ120"/>
  <c r="BH120"/>
  <c r="BF120"/>
  <c r="BD120"/>
  <c r="AX120"/>
  <c r="AV120" s="1"/>
  <c r="AP120"/>
  <c r="BI120" s="1"/>
  <c r="AO120"/>
  <c r="AW120" s="1"/>
  <c r="BC120" s="1"/>
  <c r="AL120"/>
  <c r="AK120"/>
  <c r="AJ120"/>
  <c r="AH120"/>
  <c r="AG120"/>
  <c r="AF120"/>
  <c r="AE120"/>
  <c r="AD120"/>
  <c r="AC120"/>
  <c r="AB120"/>
  <c r="Z120"/>
  <c r="H120"/>
  <c r="BJ119"/>
  <c r="BF119"/>
  <c r="BD119"/>
  <c r="AP119"/>
  <c r="AX119" s="1"/>
  <c r="AO119"/>
  <c r="AW119" s="1"/>
  <c r="AL119"/>
  <c r="AJ119"/>
  <c r="AH119"/>
  <c r="AG119"/>
  <c r="AF119"/>
  <c r="AE119"/>
  <c r="AD119"/>
  <c r="AC119"/>
  <c r="AB119"/>
  <c r="Z119"/>
  <c r="H119"/>
  <c r="AK119" s="1"/>
  <c r="BJ117"/>
  <c r="Z117" s="1"/>
  <c r="BF117"/>
  <c r="BD117"/>
  <c r="AX117"/>
  <c r="AP117"/>
  <c r="BI117" s="1"/>
  <c r="AO117"/>
  <c r="BH117" s="1"/>
  <c r="AL117"/>
  <c r="AJ117"/>
  <c r="AH117"/>
  <c r="AG117"/>
  <c r="AF117"/>
  <c r="AE117"/>
  <c r="AD117"/>
  <c r="AC117"/>
  <c r="AB117"/>
  <c r="H117"/>
  <c r="AK117" s="1"/>
  <c r="BJ116"/>
  <c r="Z116" s="1"/>
  <c r="BF116"/>
  <c r="BD116"/>
  <c r="AW116"/>
  <c r="AV116" s="1"/>
  <c r="AP116"/>
  <c r="AX116" s="1"/>
  <c r="AO116"/>
  <c r="BH116" s="1"/>
  <c r="AL116"/>
  <c r="AK116"/>
  <c r="AJ116"/>
  <c r="AH116"/>
  <c r="AG116"/>
  <c r="AF116"/>
  <c r="AE116"/>
  <c r="AD116"/>
  <c r="AC116"/>
  <c r="AB116"/>
  <c r="H116"/>
  <c r="BJ115"/>
  <c r="BF115"/>
  <c r="BD115"/>
  <c r="AP115"/>
  <c r="AX115" s="1"/>
  <c r="AO115"/>
  <c r="AW115" s="1"/>
  <c r="AL115"/>
  <c r="AK115"/>
  <c r="AJ115"/>
  <c r="AH115"/>
  <c r="AG115"/>
  <c r="AF115"/>
  <c r="AE115"/>
  <c r="AD115"/>
  <c r="Z115"/>
  <c r="H115"/>
  <c r="BJ112"/>
  <c r="BF112"/>
  <c r="BD112"/>
  <c r="AP112"/>
  <c r="AX112" s="1"/>
  <c r="AO112"/>
  <c r="BH112" s="1"/>
  <c r="AB112" s="1"/>
  <c r="AL112"/>
  <c r="AJ112"/>
  <c r="AH112"/>
  <c r="AG112"/>
  <c r="AF112"/>
  <c r="AE112"/>
  <c r="AD112"/>
  <c r="Z112"/>
  <c r="H112"/>
  <c r="AK112" s="1"/>
  <c r="BJ110"/>
  <c r="BF110"/>
  <c r="BD110"/>
  <c r="AX110"/>
  <c r="AP110"/>
  <c r="BI110" s="1"/>
  <c r="AC110" s="1"/>
  <c r="AO110"/>
  <c r="BH110" s="1"/>
  <c r="AB110" s="1"/>
  <c r="AL110"/>
  <c r="AJ110"/>
  <c r="AH110"/>
  <c r="AG110"/>
  <c r="AF110"/>
  <c r="AE110"/>
  <c r="AD110"/>
  <c r="Z110"/>
  <c r="H110"/>
  <c r="AK110" s="1"/>
  <c r="BJ108"/>
  <c r="BF108"/>
  <c r="BD108"/>
  <c r="AW108"/>
  <c r="AP108"/>
  <c r="AX108" s="1"/>
  <c r="AO108"/>
  <c r="BH108" s="1"/>
  <c r="AB108" s="1"/>
  <c r="AL108"/>
  <c r="AK108"/>
  <c r="AJ108"/>
  <c r="AH108"/>
  <c r="AG108"/>
  <c r="AF108"/>
  <c r="AE108"/>
  <c r="AD108"/>
  <c r="Z108"/>
  <c r="H108"/>
  <c r="BJ101"/>
  <c r="BF101"/>
  <c r="BD101"/>
  <c r="AP101"/>
  <c r="AX101" s="1"/>
  <c r="AO101"/>
  <c r="AW101" s="1"/>
  <c r="AL101"/>
  <c r="AK101"/>
  <c r="AJ101"/>
  <c r="AH101"/>
  <c r="AG101"/>
  <c r="AF101"/>
  <c r="AE101"/>
  <c r="AD101"/>
  <c r="Z101"/>
  <c r="H101"/>
  <c r="BJ99"/>
  <c r="BF99"/>
  <c r="BD99"/>
  <c r="AP99"/>
  <c r="AX99" s="1"/>
  <c r="AO99"/>
  <c r="AW99" s="1"/>
  <c r="AL99"/>
  <c r="AJ99"/>
  <c r="AH99"/>
  <c r="AG99"/>
  <c r="AF99"/>
  <c r="AE99"/>
  <c r="AD99"/>
  <c r="Z99"/>
  <c r="H99"/>
  <c r="AK99" s="1"/>
  <c r="BJ97"/>
  <c r="BF97"/>
  <c r="BD97"/>
  <c r="AX97"/>
  <c r="AP97"/>
  <c r="BI97" s="1"/>
  <c r="AC97" s="1"/>
  <c r="AO97"/>
  <c r="AW97" s="1"/>
  <c r="AL97"/>
  <c r="AJ97"/>
  <c r="AH97"/>
  <c r="AG97"/>
  <c r="AF97"/>
  <c r="AE97"/>
  <c r="AD97"/>
  <c r="Z97"/>
  <c r="H97"/>
  <c r="AK97" s="1"/>
  <c r="BJ95"/>
  <c r="BF95"/>
  <c r="BD95"/>
  <c r="AW95"/>
  <c r="AP95"/>
  <c r="AX95" s="1"/>
  <c r="AO95"/>
  <c r="BH95" s="1"/>
  <c r="AB95" s="1"/>
  <c r="AL95"/>
  <c r="AU86" s="1"/>
  <c r="AK95"/>
  <c r="AJ95"/>
  <c r="AH95"/>
  <c r="AG95"/>
  <c r="AF95"/>
  <c r="AE95"/>
  <c r="AD95"/>
  <c r="Z95"/>
  <c r="H95"/>
  <c r="BJ92"/>
  <c r="BF92"/>
  <c r="BD92"/>
  <c r="AP92"/>
  <c r="BI92" s="1"/>
  <c r="AC92" s="1"/>
  <c r="AO92"/>
  <c r="AW92" s="1"/>
  <c r="AL92"/>
  <c r="AK92"/>
  <c r="AJ92"/>
  <c r="AH92"/>
  <c r="AG92"/>
  <c r="AF92"/>
  <c r="AE92"/>
  <c r="AD92"/>
  <c r="Z92"/>
  <c r="H92"/>
  <c r="BJ90"/>
  <c r="BF90"/>
  <c r="BD90"/>
  <c r="AP90"/>
  <c r="AX90" s="1"/>
  <c r="AO90"/>
  <c r="BH90" s="1"/>
  <c r="AB90" s="1"/>
  <c r="AL90"/>
  <c r="AJ90"/>
  <c r="AS86" s="1"/>
  <c r="AH90"/>
  <c r="AG90"/>
  <c r="AF90"/>
  <c r="AE90"/>
  <c r="AD90"/>
  <c r="Z90"/>
  <c r="H90"/>
  <c r="AK90" s="1"/>
  <c r="BJ87"/>
  <c r="BF87"/>
  <c r="BD87"/>
  <c r="AX87"/>
  <c r="AP87"/>
  <c r="BI87" s="1"/>
  <c r="AC87" s="1"/>
  <c r="AO87"/>
  <c r="AW87" s="1"/>
  <c r="AL87"/>
  <c r="AJ87"/>
  <c r="AH87"/>
  <c r="AG87"/>
  <c r="AF87"/>
  <c r="AE87"/>
  <c r="AD87"/>
  <c r="Z87"/>
  <c r="H87"/>
  <c r="H86" s="1"/>
  <c r="BJ84"/>
  <c r="BF84"/>
  <c r="BD84"/>
  <c r="AW84"/>
  <c r="AP84"/>
  <c r="AX84" s="1"/>
  <c r="AO84"/>
  <c r="BH84" s="1"/>
  <c r="AB84" s="1"/>
  <c r="AL84"/>
  <c r="AK84"/>
  <c r="AJ84"/>
  <c r="AH84"/>
  <c r="AG84"/>
  <c r="AF84"/>
  <c r="AE84"/>
  <c r="AD84"/>
  <c r="Z84"/>
  <c r="H84"/>
  <c r="BJ82"/>
  <c r="BF82"/>
  <c r="BD82"/>
  <c r="AP82"/>
  <c r="AX82" s="1"/>
  <c r="AO82"/>
  <c r="AW82" s="1"/>
  <c r="AL82"/>
  <c r="AK82"/>
  <c r="AJ82"/>
  <c r="AH82"/>
  <c r="AG82"/>
  <c r="AF82"/>
  <c r="AE82"/>
  <c r="AD82"/>
  <c r="Z82"/>
  <c r="H82"/>
  <c r="BJ81"/>
  <c r="BF81"/>
  <c r="BD81"/>
  <c r="AP81"/>
  <c r="AX81" s="1"/>
  <c r="AO81"/>
  <c r="AW81" s="1"/>
  <c r="AL81"/>
  <c r="AJ81"/>
  <c r="AS77" s="1"/>
  <c r="AH81"/>
  <c r="AG81"/>
  <c r="AF81"/>
  <c r="AE81"/>
  <c r="AD81"/>
  <c r="Z81"/>
  <c r="H81"/>
  <c r="AK81" s="1"/>
  <c r="BJ80"/>
  <c r="BF80"/>
  <c r="BD80"/>
  <c r="AX80"/>
  <c r="AP80"/>
  <c r="BI80" s="1"/>
  <c r="AC80" s="1"/>
  <c r="AO80"/>
  <c r="BH80" s="1"/>
  <c r="AB80" s="1"/>
  <c r="AL80"/>
  <c r="AJ80"/>
  <c r="AH80"/>
  <c r="AG80"/>
  <c r="AF80"/>
  <c r="AE80"/>
  <c r="AD80"/>
  <c r="Z80"/>
  <c r="H80"/>
  <c r="H77" s="1"/>
  <c r="BJ78"/>
  <c r="BF78"/>
  <c r="BD78"/>
  <c r="AW78"/>
  <c r="AP78"/>
  <c r="AX78" s="1"/>
  <c r="AO78"/>
  <c r="BH78" s="1"/>
  <c r="AB78" s="1"/>
  <c r="AL78"/>
  <c r="AK78"/>
  <c r="AJ78"/>
  <c r="AH78"/>
  <c r="AG78"/>
  <c r="AF78"/>
  <c r="AE78"/>
  <c r="AD78"/>
  <c r="Z78"/>
  <c r="H78"/>
  <c r="AU77"/>
  <c r="BJ76"/>
  <c r="BF76"/>
  <c r="BD76"/>
  <c r="AP76"/>
  <c r="BI76" s="1"/>
  <c r="AC76" s="1"/>
  <c r="AO76"/>
  <c r="AW76" s="1"/>
  <c r="AL76"/>
  <c r="AK76"/>
  <c r="AJ76"/>
  <c r="AH76"/>
  <c r="AG76"/>
  <c r="AF76"/>
  <c r="AE76"/>
  <c r="AD76"/>
  <c r="Z76"/>
  <c r="H76"/>
  <c r="BJ72"/>
  <c r="BF72"/>
  <c r="BD72"/>
  <c r="AP72"/>
  <c r="BI72" s="1"/>
  <c r="AC72" s="1"/>
  <c r="AO72"/>
  <c r="AW72" s="1"/>
  <c r="AL72"/>
  <c r="AJ72"/>
  <c r="AH72"/>
  <c r="AG72"/>
  <c r="AF72"/>
  <c r="AE72"/>
  <c r="AD72"/>
  <c r="Z72"/>
  <c r="H72"/>
  <c r="AK72" s="1"/>
  <c r="AT71" s="1"/>
  <c r="AU71"/>
  <c r="AS71"/>
  <c r="H71"/>
  <c r="BJ68"/>
  <c r="BF68"/>
  <c r="BD68"/>
  <c r="AX68"/>
  <c r="AP68"/>
  <c r="BI68" s="1"/>
  <c r="AC68" s="1"/>
  <c r="AO68"/>
  <c r="BH68" s="1"/>
  <c r="AB68" s="1"/>
  <c r="AL68"/>
  <c r="AJ68"/>
  <c r="AH68"/>
  <c r="AG68"/>
  <c r="AF68"/>
  <c r="AE68"/>
  <c r="AD68"/>
  <c r="Z68"/>
  <c r="H68"/>
  <c r="AK68" s="1"/>
  <c r="BJ64"/>
  <c r="BF64"/>
  <c r="BD64"/>
  <c r="AW64"/>
  <c r="AP64"/>
  <c r="AX64" s="1"/>
  <c r="AO64"/>
  <c r="BH64" s="1"/>
  <c r="AB64" s="1"/>
  <c r="AL64"/>
  <c r="AK64"/>
  <c r="AJ64"/>
  <c r="AH64"/>
  <c r="AG64"/>
  <c r="AF64"/>
  <c r="AE64"/>
  <c r="AD64"/>
  <c r="Z64"/>
  <c r="H64"/>
  <c r="BJ56"/>
  <c r="BF56"/>
  <c r="BD56"/>
  <c r="AP56"/>
  <c r="BI56" s="1"/>
  <c r="AC56" s="1"/>
  <c r="AO56"/>
  <c r="AW56" s="1"/>
  <c r="AL56"/>
  <c r="AK56"/>
  <c r="AJ56"/>
  <c r="AH56"/>
  <c r="AG56"/>
  <c r="AF56"/>
  <c r="AE56"/>
  <c r="AD56"/>
  <c r="Z56"/>
  <c r="H56"/>
  <c r="BJ53"/>
  <c r="BF53"/>
  <c r="BD53"/>
  <c r="AP53"/>
  <c r="AX53" s="1"/>
  <c r="AO53"/>
  <c r="AW53" s="1"/>
  <c r="AL53"/>
  <c r="AJ53"/>
  <c r="AH53"/>
  <c r="AG53"/>
  <c r="AF53"/>
  <c r="AE53"/>
  <c r="AD53"/>
  <c r="Z53"/>
  <c r="H53"/>
  <c r="AK53" s="1"/>
  <c r="BJ48"/>
  <c r="BF48"/>
  <c r="BD48"/>
  <c r="AX48"/>
  <c r="AP48"/>
  <c r="BI48" s="1"/>
  <c r="AC48" s="1"/>
  <c r="AO48"/>
  <c r="AW48" s="1"/>
  <c r="AL48"/>
  <c r="AJ48"/>
  <c r="AH48"/>
  <c r="AG48"/>
  <c r="AF48"/>
  <c r="AE48"/>
  <c r="AD48"/>
  <c r="Z48"/>
  <c r="H48"/>
  <c r="AK48" s="1"/>
  <c r="BJ45"/>
  <c r="BF45"/>
  <c r="BD45"/>
  <c r="AW45"/>
  <c r="AP45"/>
  <c r="AX45" s="1"/>
  <c r="AO45"/>
  <c r="BH45" s="1"/>
  <c r="AB45" s="1"/>
  <c r="AL45"/>
  <c r="AK45"/>
  <c r="AJ45"/>
  <c r="AH45"/>
  <c r="AG45"/>
  <c r="AF45"/>
  <c r="AE45"/>
  <c r="AD45"/>
  <c r="Z45"/>
  <c r="H45"/>
  <c r="BJ42"/>
  <c r="BF42"/>
  <c r="BD42"/>
  <c r="AP42"/>
  <c r="AX42" s="1"/>
  <c r="AO42"/>
  <c r="AW42" s="1"/>
  <c r="AL42"/>
  <c r="AK42"/>
  <c r="AJ42"/>
  <c r="AH42"/>
  <c r="AG42"/>
  <c r="AF42"/>
  <c r="AE42"/>
  <c r="AD42"/>
  <c r="Z42"/>
  <c r="H42"/>
  <c r="BJ40"/>
  <c r="BF40"/>
  <c r="BD40"/>
  <c r="AP40"/>
  <c r="AX40" s="1"/>
  <c r="AO40"/>
  <c r="AW40" s="1"/>
  <c r="AL40"/>
  <c r="AJ40"/>
  <c r="AH40"/>
  <c r="AG40"/>
  <c r="AF40"/>
  <c r="AE40"/>
  <c r="AD40"/>
  <c r="Z40"/>
  <c r="H40"/>
  <c r="AK40" s="1"/>
  <c r="BJ36"/>
  <c r="BF36"/>
  <c r="BD36"/>
  <c r="AX36"/>
  <c r="AP36"/>
  <c r="BI36" s="1"/>
  <c r="AC36" s="1"/>
  <c r="AO36"/>
  <c r="AW36" s="1"/>
  <c r="AL36"/>
  <c r="AJ36"/>
  <c r="AH36"/>
  <c r="AG36"/>
  <c r="AF36"/>
  <c r="AE36"/>
  <c r="AD36"/>
  <c r="Z36"/>
  <c r="H36"/>
  <c r="AK36" s="1"/>
  <c r="BJ32"/>
  <c r="BF32"/>
  <c r="BD32"/>
  <c r="AW32"/>
  <c r="AP32"/>
  <c r="AX32" s="1"/>
  <c r="AO32"/>
  <c r="BH32" s="1"/>
  <c r="AB32" s="1"/>
  <c r="AL32"/>
  <c r="AU26" s="1"/>
  <c r="AK32"/>
  <c r="AJ32"/>
  <c r="AH32"/>
  <c r="AG32"/>
  <c r="AF32"/>
  <c r="AE32"/>
  <c r="AD32"/>
  <c r="Z32"/>
  <c r="H32"/>
  <c r="BJ30"/>
  <c r="BF30"/>
  <c r="BD30"/>
  <c r="AP30"/>
  <c r="BI30" s="1"/>
  <c r="AC30" s="1"/>
  <c r="AO30"/>
  <c r="AW30" s="1"/>
  <c r="AL30"/>
  <c r="AK30"/>
  <c r="AJ30"/>
  <c r="AH30"/>
  <c r="AG30"/>
  <c r="AF30"/>
  <c r="AE30"/>
  <c r="AD30"/>
  <c r="Z30"/>
  <c r="H30"/>
  <c r="BJ28"/>
  <c r="BF28"/>
  <c r="BD28"/>
  <c r="AP28"/>
  <c r="AX28" s="1"/>
  <c r="AO28"/>
  <c r="BH28" s="1"/>
  <c r="AB28" s="1"/>
  <c r="AL28"/>
  <c r="AJ28"/>
  <c r="AS26" s="1"/>
  <c r="AH28"/>
  <c r="AG28"/>
  <c r="AF28"/>
  <c r="AE28"/>
  <c r="AD28"/>
  <c r="Z28"/>
  <c r="H28"/>
  <c r="AK28" s="1"/>
  <c r="BJ27"/>
  <c r="BF27"/>
  <c r="BD27"/>
  <c r="AX27"/>
  <c r="AP27"/>
  <c r="BI27" s="1"/>
  <c r="AC27" s="1"/>
  <c r="AO27"/>
  <c r="AW27" s="1"/>
  <c r="AL27"/>
  <c r="AJ27"/>
  <c r="AH27"/>
  <c r="AG27"/>
  <c r="AF27"/>
  <c r="AE27"/>
  <c r="AD27"/>
  <c r="Z27"/>
  <c r="H27"/>
  <c r="AK27" s="1"/>
  <c r="BJ24"/>
  <c r="BF24"/>
  <c r="BD24"/>
  <c r="AW24"/>
  <c r="AP24"/>
  <c r="AX24" s="1"/>
  <c r="AO24"/>
  <c r="BH24" s="1"/>
  <c r="AB24" s="1"/>
  <c r="AL24"/>
  <c r="AK24"/>
  <c r="AJ24"/>
  <c r="AH24"/>
  <c r="AG24"/>
  <c r="AF24"/>
  <c r="AE24"/>
  <c r="AD24"/>
  <c r="Z24"/>
  <c r="H24"/>
  <c r="BJ22"/>
  <c r="BF22"/>
  <c r="BD22"/>
  <c r="AP22"/>
  <c r="AX22" s="1"/>
  <c r="AO22"/>
  <c r="AW22" s="1"/>
  <c r="AL22"/>
  <c r="AK22"/>
  <c r="AJ22"/>
  <c r="AH22"/>
  <c r="AG22"/>
  <c r="AF22"/>
  <c r="AE22"/>
  <c r="AD22"/>
  <c r="Z22"/>
  <c r="H22"/>
  <c r="BJ20"/>
  <c r="BF20"/>
  <c r="BD20"/>
  <c r="AP20"/>
  <c r="AX20" s="1"/>
  <c r="AO20"/>
  <c r="AW20" s="1"/>
  <c r="AL20"/>
  <c r="AJ20"/>
  <c r="AS13" s="1"/>
  <c r="AH20"/>
  <c r="AG20"/>
  <c r="AF20"/>
  <c r="AE20"/>
  <c r="AD20"/>
  <c r="Z20"/>
  <c r="H20"/>
  <c r="AK20" s="1"/>
  <c r="BJ17"/>
  <c r="BF17"/>
  <c r="BD17"/>
  <c r="AX17"/>
  <c r="AP17"/>
  <c r="BI17" s="1"/>
  <c r="AC17" s="1"/>
  <c r="AO17"/>
  <c r="BH17" s="1"/>
  <c r="AB17" s="1"/>
  <c r="AL17"/>
  <c r="AJ17"/>
  <c r="AH17"/>
  <c r="AG17"/>
  <c r="AF17"/>
  <c r="AE17"/>
  <c r="AD17"/>
  <c r="Z17"/>
  <c r="H17"/>
  <c r="H13" s="1"/>
  <c r="BJ14"/>
  <c r="BF14"/>
  <c r="BD14"/>
  <c r="AW14"/>
  <c r="AP14"/>
  <c r="AX14" s="1"/>
  <c r="AO14"/>
  <c r="BH14" s="1"/>
  <c r="AB14" s="1"/>
  <c r="AL14"/>
  <c r="C29" i="1" s="1"/>
  <c r="F29" s="1"/>
  <c r="AK14" i="3"/>
  <c r="AJ14"/>
  <c r="AH14"/>
  <c r="AG14"/>
  <c r="AF14"/>
  <c r="AE14"/>
  <c r="AD14"/>
  <c r="Z14"/>
  <c r="C21" i="1" s="1"/>
  <c r="H14" i="3"/>
  <c r="AU13"/>
  <c r="AU1"/>
  <c r="AT1"/>
  <c r="AS1"/>
  <c r="I44" i="2"/>
  <c r="F44"/>
  <c r="F43"/>
  <c r="I43" s="1"/>
  <c r="I42"/>
  <c r="F42"/>
  <c r="F41"/>
  <c r="I41" s="1"/>
  <c r="I40"/>
  <c r="F40"/>
  <c r="F39"/>
  <c r="I39" s="1"/>
  <c r="I38"/>
  <c r="F38"/>
  <c r="F37"/>
  <c r="I37" s="1"/>
  <c r="I36"/>
  <c r="F36"/>
  <c r="F35"/>
  <c r="I35" s="1"/>
  <c r="I26"/>
  <c r="I25"/>
  <c r="I18" i="1" s="1"/>
  <c r="I24" i="2"/>
  <c r="I23"/>
  <c r="I16" i="1" s="1"/>
  <c r="I22" i="2"/>
  <c r="I21"/>
  <c r="I27" s="1"/>
  <c r="I17"/>
  <c r="I16"/>
  <c r="I15"/>
  <c r="F14" i="1" s="1"/>
  <c r="F22" s="1"/>
  <c r="I10" i="2"/>
  <c r="F10"/>
  <c r="C10"/>
  <c r="F8"/>
  <c r="C8"/>
  <c r="F6"/>
  <c r="C6"/>
  <c r="F4"/>
  <c r="C4"/>
  <c r="F2"/>
  <c r="C2"/>
  <c r="C20" i="1"/>
  <c r="I19"/>
  <c r="I17"/>
  <c r="F16"/>
  <c r="I15"/>
  <c r="F15"/>
  <c r="I10"/>
  <c r="F10"/>
  <c r="C10"/>
  <c r="F8"/>
  <c r="C8"/>
  <c r="F6"/>
  <c r="C6"/>
  <c r="F4"/>
  <c r="C4"/>
  <c r="F2"/>
  <c r="C2"/>
  <c r="BC22" i="3" l="1"/>
  <c r="AV22"/>
  <c r="AV42"/>
  <c r="BC42"/>
  <c r="BC56"/>
  <c r="BC82"/>
  <c r="AV82"/>
  <c r="BC101"/>
  <c r="AV101"/>
  <c r="AV72"/>
  <c r="AV115"/>
  <c r="BC115"/>
  <c r="BC27"/>
  <c r="AV27"/>
  <c r="BC36"/>
  <c r="AV36"/>
  <c r="BC48"/>
  <c r="AV48"/>
  <c r="BC87"/>
  <c r="AV87"/>
  <c r="BC97"/>
  <c r="AV97"/>
  <c r="AV20"/>
  <c r="BC20"/>
  <c r="AV40"/>
  <c r="BC40"/>
  <c r="AV53"/>
  <c r="BC53"/>
  <c r="AV81"/>
  <c r="BC81"/>
  <c r="AV99"/>
  <c r="BC99"/>
  <c r="AV119"/>
  <c r="BC119"/>
  <c r="I45" i="2"/>
  <c r="I24" i="1" s="1"/>
  <c r="BC14" i="3"/>
  <c r="BC24"/>
  <c r="AT26"/>
  <c r="BC32"/>
  <c r="BC45"/>
  <c r="BC64"/>
  <c r="BC78"/>
  <c r="BC84"/>
  <c r="BC95"/>
  <c r="BC108"/>
  <c r="BC239"/>
  <c r="AV239"/>
  <c r="BC247"/>
  <c r="AV247"/>
  <c r="BC261"/>
  <c r="AV261"/>
  <c r="BC272"/>
  <c r="AV272"/>
  <c r="AT250"/>
  <c r="AV256"/>
  <c r="BI256"/>
  <c r="AE256" s="1"/>
  <c r="AT269"/>
  <c r="BC200"/>
  <c r="AV200"/>
  <c r="BC220"/>
  <c r="AV220"/>
  <c r="H219"/>
  <c r="AK221"/>
  <c r="AT219" s="1"/>
  <c r="BC255"/>
  <c r="AV255"/>
  <c r="BC270"/>
  <c r="AV270"/>
  <c r="BC145"/>
  <c r="AV145"/>
  <c r="AK163"/>
  <c r="H159"/>
  <c r="H280" s="1"/>
  <c r="BC172"/>
  <c r="AV172"/>
  <c r="BC197"/>
  <c r="AV197"/>
  <c r="BC207"/>
  <c r="AV207"/>
  <c r="BC228"/>
  <c r="AV228"/>
  <c r="BC149"/>
  <c r="AV149"/>
  <c r="BC152"/>
  <c r="AV152"/>
  <c r="BC158"/>
  <c r="AV158"/>
  <c r="BC211"/>
  <c r="AV211"/>
  <c r="BC221"/>
  <c r="AV221"/>
  <c r="BC251"/>
  <c r="AV251"/>
  <c r="H250"/>
  <c r="AK255"/>
  <c r="BC267"/>
  <c r="AV267"/>
  <c r="BC279"/>
  <c r="AV279"/>
  <c r="BI20"/>
  <c r="AC20" s="1"/>
  <c r="BI28"/>
  <c r="AC28" s="1"/>
  <c r="BH48"/>
  <c r="AB48" s="1"/>
  <c r="BI53"/>
  <c r="AC53" s="1"/>
  <c r="BI81"/>
  <c r="AC81" s="1"/>
  <c r="BH87"/>
  <c r="AB87" s="1"/>
  <c r="BI90"/>
  <c r="AC90" s="1"/>
  <c r="BH97"/>
  <c r="AB97" s="1"/>
  <c r="BI99"/>
  <c r="AC99" s="1"/>
  <c r="BI112"/>
  <c r="AC112" s="1"/>
  <c r="I14" i="1"/>
  <c r="I22" s="1"/>
  <c r="I18" i="2"/>
  <c r="F29" s="1"/>
  <c r="AW17" i="3"/>
  <c r="AV32"/>
  <c r="AV45"/>
  <c r="AW68"/>
  <c r="AX72"/>
  <c r="BC72" s="1"/>
  <c r="AV78"/>
  <c r="AW80"/>
  <c r="BH81"/>
  <c r="AB81" s="1"/>
  <c r="AV84"/>
  <c r="AV95"/>
  <c r="BH99"/>
  <c r="AB99" s="1"/>
  <c r="BI101"/>
  <c r="AC101" s="1"/>
  <c r="AV108"/>
  <c r="AW110"/>
  <c r="BI115"/>
  <c r="AC115" s="1"/>
  <c r="BI119"/>
  <c r="AV131"/>
  <c r="AV134"/>
  <c r="AT144"/>
  <c r="AV150"/>
  <c r="BI164"/>
  <c r="AE164" s="1"/>
  <c r="BC165"/>
  <c r="BI194"/>
  <c r="AE194" s="1"/>
  <c r="BC205"/>
  <c r="BI14"/>
  <c r="AC14" s="1"/>
  <c r="BH22"/>
  <c r="AB22" s="1"/>
  <c r="AW28"/>
  <c r="AX30"/>
  <c r="AV30" s="1"/>
  <c r="BH42"/>
  <c r="AB42" s="1"/>
  <c r="BI45"/>
  <c r="AC45" s="1"/>
  <c r="AX56"/>
  <c r="AV56" s="1"/>
  <c r="BH56"/>
  <c r="AB56" s="1"/>
  <c r="BI64"/>
  <c r="AC64" s="1"/>
  <c r="AX76"/>
  <c r="AV76" s="1"/>
  <c r="AK80"/>
  <c r="AT77" s="1"/>
  <c r="BH82"/>
  <c r="AB82" s="1"/>
  <c r="BI84"/>
  <c r="AC84" s="1"/>
  <c r="AK87"/>
  <c r="AT86" s="1"/>
  <c r="AW90"/>
  <c r="AX92"/>
  <c r="BC92" s="1"/>
  <c r="BH92"/>
  <c r="AB92" s="1"/>
  <c r="BI95"/>
  <c r="AC95" s="1"/>
  <c r="BH101"/>
  <c r="AB101" s="1"/>
  <c r="BI108"/>
  <c r="AC108" s="1"/>
  <c r="AW112"/>
  <c r="BH115"/>
  <c r="AB115" s="1"/>
  <c r="BC116"/>
  <c r="BI116"/>
  <c r="AW117"/>
  <c r="BH119"/>
  <c r="BI122"/>
  <c r="AT132"/>
  <c r="AW133"/>
  <c r="BC134"/>
  <c r="BI134"/>
  <c r="AE134" s="1"/>
  <c r="C17" i="1" s="1"/>
  <c r="BC139" i="3"/>
  <c r="BH146"/>
  <c r="AD146" s="1"/>
  <c r="AV147"/>
  <c r="AV151"/>
  <c r="BC154"/>
  <c r="AT159"/>
  <c r="BC160"/>
  <c r="AV164"/>
  <c r="BC168"/>
  <c r="AS171"/>
  <c r="BC173"/>
  <c r="AV177"/>
  <c r="BC182"/>
  <c r="AV186"/>
  <c r="BC190"/>
  <c r="AV194"/>
  <c r="BC198"/>
  <c r="AT201"/>
  <c r="BI203"/>
  <c r="AE203" s="1"/>
  <c r="AU204"/>
  <c r="AS204"/>
  <c r="AV243"/>
  <c r="AV266"/>
  <c r="BC123"/>
  <c r="AV123"/>
  <c r="BC148"/>
  <c r="AV148"/>
  <c r="BC153"/>
  <c r="AV153"/>
  <c r="BC170"/>
  <c r="AV170"/>
  <c r="BC202"/>
  <c r="AV202"/>
  <c r="BC210"/>
  <c r="AV210"/>
  <c r="BC245"/>
  <c r="AV245"/>
  <c r="BC157"/>
  <c r="AV157"/>
  <c r="BC162"/>
  <c r="AV162"/>
  <c r="BC167"/>
  <c r="AV167"/>
  <c r="BC175"/>
  <c r="AV175"/>
  <c r="BC180"/>
  <c r="AV180"/>
  <c r="BC184"/>
  <c r="AV184"/>
  <c r="BC189"/>
  <c r="AV189"/>
  <c r="BC192"/>
  <c r="AV192"/>
  <c r="BC215"/>
  <c r="AV215"/>
  <c r="BC163"/>
  <c r="AV163"/>
  <c r="BC166"/>
  <c r="AV166"/>
  <c r="BC176"/>
  <c r="AV176"/>
  <c r="BC179"/>
  <c r="AV179"/>
  <c r="BC185"/>
  <c r="AV185"/>
  <c r="BC188"/>
  <c r="AV188"/>
  <c r="BC193"/>
  <c r="AV193"/>
  <c r="BC196"/>
  <c r="AV196"/>
  <c r="BC206"/>
  <c r="AV206"/>
  <c r="AK207"/>
  <c r="AT204" s="1"/>
  <c r="H204"/>
  <c r="BC216"/>
  <c r="AV216"/>
  <c r="BC229"/>
  <c r="AV229"/>
  <c r="BC241"/>
  <c r="AV241"/>
  <c r="BC259"/>
  <c r="AV259"/>
  <c r="BC274"/>
  <c r="AV274"/>
  <c r="BC277"/>
  <c r="AV277"/>
  <c r="H26"/>
  <c r="H12" s="1"/>
  <c r="BH27"/>
  <c r="AB27" s="1"/>
  <c r="BH36"/>
  <c r="AB36" s="1"/>
  <c r="BI40"/>
  <c r="AC40" s="1"/>
  <c r="BI150"/>
  <c r="AE150" s="1"/>
  <c r="AV14"/>
  <c r="BH20"/>
  <c r="AB20" s="1"/>
  <c r="C14" i="1" s="1"/>
  <c r="BI22" i="3"/>
  <c r="AC22" s="1"/>
  <c r="AV24"/>
  <c r="BH40"/>
  <c r="AB40" s="1"/>
  <c r="BI42"/>
  <c r="AC42" s="1"/>
  <c r="BH53"/>
  <c r="AB53" s="1"/>
  <c r="AV64"/>
  <c r="BH72"/>
  <c r="AB72" s="1"/>
  <c r="BI82"/>
  <c r="AC82" s="1"/>
  <c r="BC146"/>
  <c r="BI177"/>
  <c r="AE177" s="1"/>
  <c r="BC178"/>
  <c r="BI186"/>
  <c r="AE186" s="1"/>
  <c r="BC187"/>
  <c r="BC195"/>
  <c r="C27" i="1"/>
  <c r="AK17" i="3"/>
  <c r="BI24"/>
  <c r="AC24" s="1"/>
  <c r="BH30"/>
  <c r="AB30" s="1"/>
  <c r="BI32"/>
  <c r="AC32" s="1"/>
  <c r="BH76"/>
  <c r="AB76" s="1"/>
  <c r="BI78"/>
  <c r="AC78" s="1"/>
  <c r="AV125"/>
  <c r="AS132"/>
  <c r="BH134"/>
  <c r="AD134" s="1"/>
  <c r="BI139"/>
  <c r="AE139" s="1"/>
  <c r="BC143"/>
  <c r="H144"/>
  <c r="BC150"/>
  <c r="BH153"/>
  <c r="AD153" s="1"/>
  <c r="BI154"/>
  <c r="AG154" s="1"/>
  <c r="C19" i="1" s="1"/>
  <c r="BC156" i="3"/>
  <c r="BI160"/>
  <c r="AE160" s="1"/>
  <c r="BC161"/>
  <c r="AV165"/>
  <c r="BI168"/>
  <c r="AE168" s="1"/>
  <c r="BC169"/>
  <c r="AT171"/>
  <c r="BI173"/>
  <c r="AE173" s="1"/>
  <c r="BC174"/>
  <c r="AV178"/>
  <c r="BI182"/>
  <c r="AE182" s="1"/>
  <c r="BC183"/>
  <c r="AV187"/>
  <c r="BI190"/>
  <c r="AE190" s="1"/>
  <c r="BC191"/>
  <c r="AV195"/>
  <c r="BI198"/>
  <c r="AE198" s="1"/>
  <c r="BC199"/>
  <c r="BH202"/>
  <c r="AD202" s="1"/>
  <c r="AV203"/>
  <c r="AV205"/>
  <c r="AV212"/>
  <c r="BI212"/>
  <c r="AE212" s="1"/>
  <c r="AV223"/>
  <c r="BI223"/>
  <c r="AE223" s="1"/>
  <c r="AT230"/>
  <c r="AV231"/>
  <c r="BI231"/>
  <c r="AE231" s="1"/>
  <c r="AT246"/>
  <c r="AV249"/>
  <c r="BH255"/>
  <c r="AD255" s="1"/>
  <c r="AV258"/>
  <c r="AV263"/>
  <c r="BI263"/>
  <c r="AE263" s="1"/>
  <c r="AV271"/>
  <c r="BH270"/>
  <c r="AF270" s="1"/>
  <c r="BI271"/>
  <c r="AG271" s="1"/>
  <c r="BH274"/>
  <c r="AF274" s="1"/>
  <c r="BH277"/>
  <c r="BH279"/>
  <c r="BH150"/>
  <c r="AD150" s="1"/>
  <c r="BI151"/>
  <c r="AE151" s="1"/>
  <c r="BH154"/>
  <c r="AF154" s="1"/>
  <c r="BI156"/>
  <c r="AE156" s="1"/>
  <c r="BH160"/>
  <c r="AD160" s="1"/>
  <c r="BI161"/>
  <c r="AE161" s="1"/>
  <c r="BH164"/>
  <c r="AD164" s="1"/>
  <c r="BI165"/>
  <c r="AE165" s="1"/>
  <c r="BH168"/>
  <c r="AD168" s="1"/>
  <c r="BI169"/>
  <c r="AE169" s="1"/>
  <c r="BH173"/>
  <c r="AD173" s="1"/>
  <c r="BI174"/>
  <c r="AE174" s="1"/>
  <c r="BH177"/>
  <c r="AD177" s="1"/>
  <c r="BI178"/>
  <c r="AE178" s="1"/>
  <c r="BH182"/>
  <c r="AD182" s="1"/>
  <c r="BI183"/>
  <c r="AE183" s="1"/>
  <c r="BH186"/>
  <c r="AD186" s="1"/>
  <c r="BI187"/>
  <c r="AE187" s="1"/>
  <c r="BH190"/>
  <c r="AD190" s="1"/>
  <c r="BI191"/>
  <c r="AE191" s="1"/>
  <c r="BH194"/>
  <c r="AD194" s="1"/>
  <c r="BI195"/>
  <c r="AE195" s="1"/>
  <c r="BH198"/>
  <c r="AD198" s="1"/>
  <c r="BI199"/>
  <c r="AE199" s="1"/>
  <c r="BH203"/>
  <c r="AD203" s="1"/>
  <c r="BI205"/>
  <c r="AE205" s="1"/>
  <c r="AV273"/>
  <c r="BH127"/>
  <c r="BI131"/>
  <c r="BH139"/>
  <c r="AD139" s="1"/>
  <c r="C16" i="1" s="1"/>
  <c r="BI143" i="3"/>
  <c r="BH147"/>
  <c r="AD147" s="1"/>
  <c r="BI148"/>
  <c r="AE148" s="1"/>
  <c r="BH151"/>
  <c r="AD151" s="1"/>
  <c r="BI152"/>
  <c r="AE152" s="1"/>
  <c r="BH156"/>
  <c r="AD156" s="1"/>
  <c r="BI157"/>
  <c r="AE157" s="1"/>
  <c r="BH161"/>
  <c r="AD161" s="1"/>
  <c r="BI162"/>
  <c r="AE162" s="1"/>
  <c r="BH165"/>
  <c r="AD165" s="1"/>
  <c r="BI166"/>
  <c r="AE166" s="1"/>
  <c r="BH169"/>
  <c r="AD169" s="1"/>
  <c r="BI170"/>
  <c r="BH174"/>
  <c r="AD174" s="1"/>
  <c r="BI175"/>
  <c r="AE175" s="1"/>
  <c r="BH178"/>
  <c r="AD178" s="1"/>
  <c r="BI179"/>
  <c r="AE179" s="1"/>
  <c r="BH183"/>
  <c r="AD183" s="1"/>
  <c r="BI184"/>
  <c r="AE184" s="1"/>
  <c r="BH187"/>
  <c r="AD187" s="1"/>
  <c r="BI188"/>
  <c r="AE188" s="1"/>
  <c r="BH191"/>
  <c r="AD191" s="1"/>
  <c r="BI192"/>
  <c r="AE192" s="1"/>
  <c r="BH195"/>
  <c r="AD195" s="1"/>
  <c r="BI196"/>
  <c r="AE196" s="1"/>
  <c r="BH199"/>
  <c r="AD199" s="1"/>
  <c r="BI200"/>
  <c r="BH205"/>
  <c r="AD205" s="1"/>
  <c r="BI206"/>
  <c r="AE206" s="1"/>
  <c r="BH209"/>
  <c r="AD209" s="1"/>
  <c r="BI210"/>
  <c r="AE210" s="1"/>
  <c r="BH213"/>
  <c r="AD213" s="1"/>
  <c r="BI215"/>
  <c r="AE215" s="1"/>
  <c r="BH218"/>
  <c r="BI220"/>
  <c r="AE220" s="1"/>
  <c r="BH224"/>
  <c r="AD224" s="1"/>
  <c r="BI228"/>
  <c r="AE228" s="1"/>
  <c r="BH235"/>
  <c r="AD235" s="1"/>
  <c r="BI239"/>
  <c r="AE239" s="1"/>
  <c r="BH243"/>
  <c r="AD243" s="1"/>
  <c r="BI245"/>
  <c r="BH249"/>
  <c r="BI251"/>
  <c r="AE251" s="1"/>
  <c r="BH258"/>
  <c r="AD258" s="1"/>
  <c r="BI259"/>
  <c r="AE259" s="1"/>
  <c r="BH266"/>
  <c r="AD266" s="1"/>
  <c r="BI267"/>
  <c r="AE267" s="1"/>
  <c r="BH272"/>
  <c r="AF272" s="1"/>
  <c r="BI273"/>
  <c r="AG273" s="1"/>
  <c r="C22" i="1" l="1"/>
  <c r="BC110" i="3"/>
  <c r="AV110"/>
  <c r="AV90"/>
  <c r="BC90"/>
  <c r="AV28"/>
  <c r="BC28"/>
  <c r="BC80"/>
  <c r="AV80"/>
  <c r="C18" i="1"/>
  <c r="BC68" i="3"/>
  <c r="AV68"/>
  <c r="AV92"/>
  <c r="BC30"/>
  <c r="BC76"/>
  <c r="AT13"/>
  <c r="C28" i="1"/>
  <c r="F28" s="1"/>
  <c r="BC133" i="3"/>
  <c r="AV133"/>
  <c r="BC117"/>
  <c r="AV117"/>
  <c r="AV112"/>
  <c r="BC112"/>
  <c r="BC17"/>
  <c r="AV17"/>
  <c r="C15" i="1"/>
  <c r="I28" l="1"/>
  <c r="I29" s="1"/>
</calcChain>
</file>

<file path=xl/sharedStrings.xml><?xml version="1.0" encoding="utf-8"?>
<sst xmlns="http://schemas.openxmlformats.org/spreadsheetml/2006/main" count="2237" uniqueCount="733">
  <si>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</si>
  <si>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</si>
  <si>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</si>
  <si>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</si>
  <si>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</si>
  <si>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</si>
  <si>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</si>
  <si>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</si>
  <si>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</si>
  <si>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</si>
  <si>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</si>
  <si>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</si>
  <si>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</si>
  <si>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</si>
  <si>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</si>
  <si>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</si>
  <si>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</si>
  <si>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</si>
  <si>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</si>
  <si>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</si>
  <si>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</si>
  <si>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</si>
  <si>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</si>
  <si>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</si>
  <si>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</si>
  <si>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</si>
  <si>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</si>
  <si>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</si>
  <si>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</si>
  <si>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</si>
  <si>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</si>
  <si>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</si>
  <si>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</si>
  <si>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</si>
  <si>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</si>
  <si>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</si>
  <si>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</si>
  <si>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</si>
  <si>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</si>
  <si>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</si>
  <si>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</si>
  <si>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</si>
  <si>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</si>
  <si>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</si>
  <si>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</si>
  <si>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</si>
  <si>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</si>
  <si>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</si>
  <si>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</si>
  <si>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</si>
  <si>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</si>
  <si>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</si>
  <si>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</si>
  <si>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</si>
  <si>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</si>
  <si>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</si>
  <si>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</si>
  <si>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</si>
  <si>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</si>
  <si>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</si>
  <si>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</si>
  <si>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</si>
  <si>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</si>
  <si>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</si>
  <si>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</si>
  <si>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</si>
  <si>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</si>
  <si>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</si>
  <si>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</si>
  <si>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</si>
  <si>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</si>
  <si>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</si>
  <si>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</si>
  <si>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</si>
  <si>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</si>
  <si>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</si>
  <si>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Slepý stavební rozpočet</t>
  </si>
  <si>
    <t>100-2025 Brodská 1876/27  byt č. 29,  Žďár nad Sázavou</t>
  </si>
  <si>
    <t>Doba výstavby:</t>
  </si>
  <si>
    <t xml:space="preserve"> </t>
  </si>
  <si>
    <t> </t>
  </si>
  <si>
    <t>oprava bytu 1+1  3.NP</t>
  </si>
  <si>
    <t>Zpracováno dne: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</si>
  <si>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</si>
  <si>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</si>
  <si>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</si>
  <si>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</si>
  <si>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</si>
  <si>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</si>
  <si>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</si>
  <si>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</si>
  <si>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</si>
  <si>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</si>
  <si>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</si>
  <si>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</si>
  <si>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</si>
  <si>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</si>
  <si>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</si>
  <si>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</si>
  <si>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</si>
  <si>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</si>
  <si>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</si>
  <si>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</si>
  <si>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</si>
  <si>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</si>
  <si>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</si>
  <si>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</si>
  <si>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</si>
  <si>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Nezařazeno</t>
  </si>
  <si>
    <t>34</t>
  </si>
  <si>
    <t>Stěny a příčky</t>
  </si>
  <si>
    <t>1</t>
  </si>
  <si>
    <t>310235251RT2</t>
  </si>
  <si>
    <t>Zazdívka otvorů pl.0,0225 m2 cihlami, tl.zdi 45 cm</t>
  </si>
  <si>
    <t>kus</t>
  </si>
  <si>
    <t>34_</t>
  </si>
  <si>
    <t>_3_</t>
  </si>
  <si>
    <t>_</t>
  </si>
  <si>
    <t>P</t>
  </si>
  <si>
    <t>Varianta:</t>
  </si>
  <si>
    <t>s použitím suché maltové směsi</t>
  </si>
  <si>
    <t>2</t>
  </si>
  <si>
    <t>spižní otvory</t>
  </si>
  <si>
    <t>342270042RA0</t>
  </si>
  <si>
    <t>Příčka z pórobetonových desek hladkých, tloušťka 100 mm</t>
  </si>
  <si>
    <t>m2</t>
  </si>
  <si>
    <t>(4,2+1,795)*2,6</t>
  </si>
  <si>
    <t>-0,8*2*2</t>
  </si>
  <si>
    <t>3</t>
  </si>
  <si>
    <t>317121047RT2</t>
  </si>
  <si>
    <t>Překlad nenosný pórobetonový, světlost otvoru do 1050 mm</t>
  </si>
  <si>
    <t>překlad nenosný  124 x 24,9 x 10 cm</t>
  </si>
  <si>
    <t>4</t>
  </si>
  <si>
    <t>342948111R00</t>
  </si>
  <si>
    <t>Ukotvení příček ke konstrukci kotvami na hmoždinky</t>
  </si>
  <si>
    <t>m</t>
  </si>
  <si>
    <t>2,6*3</t>
  </si>
  <si>
    <t>svisle</t>
  </si>
  <si>
    <t>5</t>
  </si>
  <si>
    <t>342668111R00</t>
  </si>
  <si>
    <t>Těsnění styku příčky se stáv. konstrukcí PU pěnou</t>
  </si>
  <si>
    <t>(4,2+1,795)</t>
  </si>
  <si>
    <t>61</t>
  </si>
  <si>
    <t>Úprava povrchů vnitřní</t>
  </si>
  <si>
    <t>6</t>
  </si>
  <si>
    <t>601016191R00</t>
  </si>
  <si>
    <t>Penetrační nátěr stropů</t>
  </si>
  <si>
    <t>61_</t>
  </si>
  <si>
    <t>_6_</t>
  </si>
  <si>
    <t>7</t>
  </si>
  <si>
    <t>611421133R00</t>
  </si>
  <si>
    <t>Omítka vnitřní stropů rovných, MVC, štuková</t>
  </si>
  <si>
    <t>2,96+2,6+8,66+14,53</t>
  </si>
  <si>
    <t>8</t>
  </si>
  <si>
    <t>620991111R00</t>
  </si>
  <si>
    <t>Zakrývání spár panelů páskou</t>
  </si>
  <si>
    <t>3*4,2</t>
  </si>
  <si>
    <t>9</t>
  </si>
  <si>
    <t>612421615R00</t>
  </si>
  <si>
    <t>Omítka vnitřní zdiva, MVC, hrubá zatřená</t>
  </si>
  <si>
    <t>11,21</t>
  </si>
  <si>
    <t>koupelna pod obklady</t>
  </si>
  <si>
    <t>(0,6+2,475+0,6)*0,6</t>
  </si>
  <si>
    <t>kuchyň linka</t>
  </si>
  <si>
    <t>(0,2*1,45)*2</t>
  </si>
  <si>
    <t>10</t>
  </si>
  <si>
    <t>602016191R00</t>
  </si>
  <si>
    <t>Penetrační nátěr stěn</t>
  </si>
  <si>
    <t>(4,2*2+1,795*2)*2,6</t>
  </si>
  <si>
    <t>nové příčky</t>
  </si>
  <si>
    <t>-(0,8*2)*4</t>
  </si>
  <si>
    <t>67,259</t>
  </si>
  <si>
    <t>stávající stěny</t>
  </si>
  <si>
    <t>11</t>
  </si>
  <si>
    <t>610991111R00</t>
  </si>
  <si>
    <t>Zakrývání výplní vnitřních otvorů</t>
  </si>
  <si>
    <t>1,5*1,35*2</t>
  </si>
  <si>
    <t>okno</t>
  </si>
  <si>
    <t>12</t>
  </si>
  <si>
    <t>642942111RT4</t>
  </si>
  <si>
    <t>Osazení zárubní dveřních ocelových, pl. do 2,5 m2</t>
  </si>
  <si>
    <t>včetně dodávky zárubně 800 x 1970 x 100 mm</t>
  </si>
  <si>
    <t>13</t>
  </si>
  <si>
    <t>642944121RT4</t>
  </si>
  <si>
    <t>Osazení ocelových zárubní dodatečně do 2,5 m2</t>
  </si>
  <si>
    <t>koupelna</t>
  </si>
  <si>
    <t>14</t>
  </si>
  <si>
    <t>612481211RT2</t>
  </si>
  <si>
    <t>Montáž výztužné sítě(perlinky)do stěrky-vnit.stěny</t>
  </si>
  <si>
    <t>včetně výztužné sítě a stěrkového tmelu</t>
  </si>
  <si>
    <t>4,2*2,6-0,8*2</t>
  </si>
  <si>
    <t>(2,475+1,83)*2,6-0,8*2*2</t>
  </si>
  <si>
    <t>(1,795+1,65)*2,6-0,8*2</t>
  </si>
  <si>
    <t>15</t>
  </si>
  <si>
    <t>612471411RT2</t>
  </si>
  <si>
    <t>Úprava vnitřních stěn aktivovaným štukem</t>
  </si>
  <si>
    <t>24,67</t>
  </si>
  <si>
    <t>16</t>
  </si>
  <si>
    <t>612474611RT2</t>
  </si>
  <si>
    <t>Omítka stěn vnitřní, VPC jádro, vápen.štuk, ručně</t>
  </si>
  <si>
    <t>na pálené cihly a tvarovky - nové zdivo</t>
  </si>
  <si>
    <t>(1,795+1,65)*2*2,6-0,8*2*3</t>
  </si>
  <si>
    <t>stěny  chodba</t>
  </si>
  <si>
    <t>(0,675+1,65+1,575+0,75)*0,8</t>
  </si>
  <si>
    <t>koupelna nad obklady</t>
  </si>
  <si>
    <t>(0,9+0,9)*0,5</t>
  </si>
  <si>
    <t>(3,5+2,475+1,7)*2,6-1,5*1,35</t>
  </si>
  <si>
    <t>kuchyň</t>
  </si>
  <si>
    <t>-(0,6+2,475+0,6)*0,6</t>
  </si>
  <si>
    <t>(3,525*2+4,2)*2,6-1,5*1,35</t>
  </si>
  <si>
    <t>pokoj</t>
  </si>
  <si>
    <t>17</t>
  </si>
  <si>
    <t>612425931RT2</t>
  </si>
  <si>
    <t>Omítka vápenná vnitřního ostění - štuková</t>
  </si>
  <si>
    <t>(1,5+1,35*2)*0,2*2</t>
  </si>
  <si>
    <t>okna</t>
  </si>
  <si>
    <t>(1+2,2*2)*0,35</t>
  </si>
  <si>
    <t>vstup. dveře</t>
  </si>
  <si>
    <t>18</t>
  </si>
  <si>
    <t>648952421RT3</t>
  </si>
  <si>
    <t>Osazení parapetních desek dřevěných š. do 50 cm</t>
  </si>
  <si>
    <t>včetně dodávky parapetní desky š. 35 cm</t>
  </si>
  <si>
    <t>1,5+1,5</t>
  </si>
  <si>
    <t>63</t>
  </si>
  <si>
    <t>Podlahy a podlahové konstrukce</t>
  </si>
  <si>
    <t>19</t>
  </si>
  <si>
    <t>632451441R00</t>
  </si>
  <si>
    <t>Doplnění potěru plochy do 1 m2, tl. 30 - 40 mm</t>
  </si>
  <si>
    <t>63_</t>
  </si>
  <si>
    <t>1,59*1,45</t>
  </si>
  <si>
    <t>14,53</t>
  </si>
  <si>
    <t>8,66</t>
  </si>
  <si>
    <t>20</t>
  </si>
  <si>
    <t>632411904R00</t>
  </si>
  <si>
    <t>Penetrace savých podkladů  0,25 l/m2</t>
  </si>
  <si>
    <t>95</t>
  </si>
  <si>
    <t>Různé dokončovací konstrukce a práce na pozemních stavbách</t>
  </si>
  <si>
    <t>21</t>
  </si>
  <si>
    <t>900      R01</t>
  </si>
  <si>
    <t>HZS - drobné nezměřitelné práce</t>
  </si>
  <si>
    <t>h</t>
  </si>
  <si>
    <t>95_</t>
  </si>
  <si>
    <t>_9_</t>
  </si>
  <si>
    <t>stavební dělník</t>
  </si>
  <si>
    <t>22</t>
  </si>
  <si>
    <t>900      R02</t>
  </si>
  <si>
    <t>HZS - vyklizení, vyčištění, desinfekce, ochranné pomůcky</t>
  </si>
  <si>
    <t>soubor</t>
  </si>
  <si>
    <t>23</t>
  </si>
  <si>
    <t>952901111R00</t>
  </si>
  <si>
    <t>Vyčištění budov o výšce podlaží do 4 m</t>
  </si>
  <si>
    <t>24</t>
  </si>
  <si>
    <t>713582115RT2</t>
  </si>
  <si>
    <t>Revizní dvířka Promat do masivních stěn, 500 x 500 mm</t>
  </si>
  <si>
    <t>typ SP, požární odolnost EI 30</t>
  </si>
  <si>
    <t>25</t>
  </si>
  <si>
    <t>952902110RVV</t>
  </si>
  <si>
    <t>Zametání a vytírání v místnostech, chodbách, na  schodišti</t>
  </si>
  <si>
    <t>KPL.</t>
  </si>
  <si>
    <t xml:space="preserve"> v průběhu rekonstrukce</t>
  </si>
  <si>
    <t>96</t>
  </si>
  <si>
    <t>Bourání konstrukcí</t>
  </si>
  <si>
    <t>26</t>
  </si>
  <si>
    <t>962084131R00</t>
  </si>
  <si>
    <t>Bourání příček deskových  tl.10 cm</t>
  </si>
  <si>
    <t>96_</t>
  </si>
  <si>
    <t>27</t>
  </si>
  <si>
    <t>968061125R00</t>
  </si>
  <si>
    <t>Vyvěšení dřevěných dveřních křídel pl. do 2 m2</t>
  </si>
  <si>
    <t>bytové</t>
  </si>
  <si>
    <t>28</t>
  </si>
  <si>
    <t>968072455R00</t>
  </si>
  <si>
    <t>Vybourání kovových dveřních zárubní pl. do 2 m2</t>
  </si>
  <si>
    <t>0,8*2*2</t>
  </si>
  <si>
    <t>dřev. příčka</t>
  </si>
  <si>
    <t>0,9*2,1</t>
  </si>
  <si>
    <t>29</t>
  </si>
  <si>
    <t>965081713R00</t>
  </si>
  <si>
    <t>Bourání dlažeb keramických tl.10 mm, nad 1 m2</t>
  </si>
  <si>
    <t>1,6*1,45</t>
  </si>
  <si>
    <t>30</t>
  </si>
  <si>
    <t>968091001R00</t>
  </si>
  <si>
    <t>Bourání parapetů teracových š. do 30 cm tl.3 cm</t>
  </si>
  <si>
    <t>31</t>
  </si>
  <si>
    <t>978011191R00</t>
  </si>
  <si>
    <t>Otlučení omítek vnitřních vápenných stropů do 100%</t>
  </si>
  <si>
    <t>32</t>
  </si>
  <si>
    <t>978013191R00</t>
  </si>
  <si>
    <t>Otlučení omítek vnitřních stěn v rozsahu do 100 %</t>
  </si>
  <si>
    <t>(1,575+1,65)*2*0,8</t>
  </si>
  <si>
    <t>(3,6+2,475+1,7)*2,6-1,5*1,35</t>
  </si>
  <si>
    <t>ostění otvorů</t>
  </si>
  <si>
    <t>33</t>
  </si>
  <si>
    <t>978059521R00</t>
  </si>
  <si>
    <t>Odsekání vnitřních obkladů stěn do 2 m2</t>
  </si>
  <si>
    <t>(1,45+1,6)*2*2,1-0,8*2</t>
  </si>
  <si>
    <t>762522811R00</t>
  </si>
  <si>
    <t>Demontáž podlah s polštáři z prken tl. do 32 mm</t>
  </si>
  <si>
    <t>35</t>
  </si>
  <si>
    <t>775531800RT1</t>
  </si>
  <si>
    <t>Demontáž parketových tabulí lepených včetně lišt</t>
  </si>
  <si>
    <t>včetně uložení suti na hromady</t>
  </si>
  <si>
    <t>36</t>
  </si>
  <si>
    <t>785900010RA0</t>
  </si>
  <si>
    <t>Odstranění tapet</t>
  </si>
  <si>
    <t>37</t>
  </si>
  <si>
    <t>979011111R00</t>
  </si>
  <si>
    <t>Svislá doprava suti a vybour. hmot za 2.NP a 1.PP</t>
  </si>
  <si>
    <t>t</t>
  </si>
  <si>
    <t>38</t>
  </si>
  <si>
    <t>979011121R00</t>
  </si>
  <si>
    <t>Příplatek za každé další podlaží</t>
  </si>
  <si>
    <t>8,163*2</t>
  </si>
  <si>
    <t>39</t>
  </si>
  <si>
    <t>979081111R00</t>
  </si>
  <si>
    <t>Odvoz suti a vybour. hmot na skládku do 1 km</t>
  </si>
  <si>
    <t>40</t>
  </si>
  <si>
    <t>979081121R00</t>
  </si>
  <si>
    <t>Příplatek k odvozu za každý další 1 km</t>
  </si>
  <si>
    <t>8,163*5</t>
  </si>
  <si>
    <t>41</t>
  </si>
  <si>
    <t>979082111R00</t>
  </si>
  <si>
    <t>Vnitrostaveništní doprava suti do 10 m</t>
  </si>
  <si>
    <t>42</t>
  </si>
  <si>
    <t>979082121R00</t>
  </si>
  <si>
    <t>Příplatek k vnitrost. dopravě suti za dalších 5 m</t>
  </si>
  <si>
    <t>8,163*4</t>
  </si>
  <si>
    <t>43</t>
  </si>
  <si>
    <t>979990107R00</t>
  </si>
  <si>
    <t>Poplatek za uložení suti - směs betonu, cihel, dřeva, skupina odpadu 170904</t>
  </si>
  <si>
    <t>8,163-0,117</t>
  </si>
  <si>
    <t>44</t>
  </si>
  <si>
    <t>979990181R00</t>
  </si>
  <si>
    <t>Poplatek za uložení suti - PVC podlahová krytina, skupina odpadu 200307</t>
  </si>
  <si>
    <t>26,429*0,0035</t>
  </si>
  <si>
    <t>PVC</t>
  </si>
  <si>
    <t>30,29*0,0008</t>
  </si>
  <si>
    <t>sokl PVC</t>
  </si>
  <si>
    <t>99</t>
  </si>
  <si>
    <t>Staveništní přesun hmot</t>
  </si>
  <si>
    <t>45</t>
  </si>
  <si>
    <t>999281108R00</t>
  </si>
  <si>
    <t>Přesun hmot pro opravy a údržbu do výšky 12 m</t>
  </si>
  <si>
    <t>99_</t>
  </si>
  <si>
    <t>711</t>
  </si>
  <si>
    <t>Izolace proti vodě</t>
  </si>
  <si>
    <t>46</t>
  </si>
  <si>
    <t>711212000R00</t>
  </si>
  <si>
    <t>Penetrace podkladu pod hydroizolační hmoty, včetně dodávky</t>
  </si>
  <si>
    <t>711_</t>
  </si>
  <si>
    <t>_71_</t>
  </si>
  <si>
    <t>47</t>
  </si>
  <si>
    <t>711212002RT3</t>
  </si>
  <si>
    <t>Stěrka hydroizolační, vč. dodávky HI hmoty</t>
  </si>
  <si>
    <t xml:space="preserve"> tl. 2 mm</t>
  </si>
  <si>
    <t>1,45*1,6</t>
  </si>
  <si>
    <t>koupelna podlaha</t>
  </si>
  <si>
    <t>(1,45+1,6)*2*0,3-0,8*0,3</t>
  </si>
  <si>
    <t>sokl</t>
  </si>
  <si>
    <t>(1+1)*2,1</t>
  </si>
  <si>
    <t>sprcha svisle</t>
  </si>
  <si>
    <t>48</t>
  </si>
  <si>
    <t>711212601RT2</t>
  </si>
  <si>
    <t>Utěsnění detailů při stěrkových hydroizolacích, těsnicí pás do spoje podlaha - stěna</t>
  </si>
  <si>
    <t xml:space="preserve"> šířka 100 mm</t>
  </si>
  <si>
    <t>(1,45+1,6)*2-0,8</t>
  </si>
  <si>
    <t>koupelna sokl</t>
  </si>
  <si>
    <t>2,1</t>
  </si>
  <si>
    <t>svisle sprcha</t>
  </si>
  <si>
    <t>49</t>
  </si>
  <si>
    <t>998711102R00</t>
  </si>
  <si>
    <t>Přesun hmot pro izolace proti vodě, výšky do 12 m</t>
  </si>
  <si>
    <t>721</t>
  </si>
  <si>
    <t>Vnitřní kanalizace</t>
  </si>
  <si>
    <t>50</t>
  </si>
  <si>
    <t>721140935R00</t>
  </si>
  <si>
    <t>Provedení opravy - přechod z plastových trub na litinu,DN 100 mm</t>
  </si>
  <si>
    <t>721_</t>
  </si>
  <si>
    <t>_72_</t>
  </si>
  <si>
    <t>51</t>
  </si>
  <si>
    <t>721140802R00</t>
  </si>
  <si>
    <t>Demontáž potrubí litinového do DN 100 mm</t>
  </si>
  <si>
    <t>52</t>
  </si>
  <si>
    <t>721171803R00</t>
  </si>
  <si>
    <t>Demontáž potrubí z PVC do D 75 mm</t>
  </si>
  <si>
    <t>53</t>
  </si>
  <si>
    <t>721176102R00</t>
  </si>
  <si>
    <t>Potrubí HT připojovací, D 40 x 1,8 mm</t>
  </si>
  <si>
    <t>54</t>
  </si>
  <si>
    <t>721176103R00</t>
  </si>
  <si>
    <t>Potrubí HT připojovací, D 50 x 1,8 mm</t>
  </si>
  <si>
    <t>55</t>
  </si>
  <si>
    <t>721176105R00</t>
  </si>
  <si>
    <t>Potrubí HT připojovací, D 110 x 2,7 mm</t>
  </si>
  <si>
    <t>56</t>
  </si>
  <si>
    <t>721176115R00</t>
  </si>
  <si>
    <t>Potrubí HT odpadní svislé, D 110 x 2,7 mm</t>
  </si>
  <si>
    <t>57</t>
  </si>
  <si>
    <t>721194104R00</t>
  </si>
  <si>
    <t>Vyvedení odpadních výpustek, D 40 x 1,8 mm</t>
  </si>
  <si>
    <t>58</t>
  </si>
  <si>
    <t>721194109R00</t>
  </si>
  <si>
    <t>Vyvedení odpadních výpustek, D 110 x 2,3 mm</t>
  </si>
  <si>
    <t>59</t>
  </si>
  <si>
    <t>230120046R00</t>
  </si>
  <si>
    <t>Čištění potrubí profukováním nebo proplach. DN 100</t>
  </si>
  <si>
    <t>1,9+3,2+1</t>
  </si>
  <si>
    <t>60</t>
  </si>
  <si>
    <t>721290111R00</t>
  </si>
  <si>
    <t>Zkouška těsnosti kanalizace vodou DN 125 mm</t>
  </si>
  <si>
    <t>721176212R00</t>
  </si>
  <si>
    <t>Potrubí KG odpadní svislé, D 110 x 3,2 mm</t>
  </si>
  <si>
    <t>62</t>
  </si>
  <si>
    <t>998721102R00</t>
  </si>
  <si>
    <t>Přesun hmot pro vnitřní kanalizaci, výšky do 12 m</t>
  </si>
  <si>
    <t>722</t>
  </si>
  <si>
    <t>Vnitřní vodovod</t>
  </si>
  <si>
    <t>722130801R00</t>
  </si>
  <si>
    <t>Demontáž potrubí ocelových závitových, DN 25 mm</t>
  </si>
  <si>
    <t>722_</t>
  </si>
  <si>
    <t>64</t>
  </si>
  <si>
    <t>722130913R00</t>
  </si>
  <si>
    <t>Oprava -  přeřezání ocelové trubky do DN 25 mm</t>
  </si>
  <si>
    <t>65</t>
  </si>
  <si>
    <t>722260921R00</t>
  </si>
  <si>
    <t>Zpětná montáž vodoměrů závitových G 1/2"</t>
  </si>
  <si>
    <t>66</t>
  </si>
  <si>
    <t>722172631R00</t>
  </si>
  <si>
    <t>Potrubí plastové PP-R Instaplast, bez zednických výpomocí, D 20 x 3,4 mm, PN 20</t>
  </si>
  <si>
    <t>67</t>
  </si>
  <si>
    <t>722220111R00</t>
  </si>
  <si>
    <t>Nástěnka K 247, pro výtokový ventil G 1/2"</t>
  </si>
  <si>
    <t>68</t>
  </si>
  <si>
    <t>722220121R00</t>
  </si>
  <si>
    <t>Nástěnka K 247, pro baterii G 1/2"</t>
  </si>
  <si>
    <t>pár</t>
  </si>
  <si>
    <t>69</t>
  </si>
  <si>
    <t>722181214RT8</t>
  </si>
  <si>
    <t>Izolace návleková   tl. stěny 20 mm</t>
  </si>
  <si>
    <t>70</t>
  </si>
  <si>
    <t>722190401R00</t>
  </si>
  <si>
    <t>Vyvedení a upevnění výpustek DN 15 mm</t>
  </si>
  <si>
    <t>71</t>
  </si>
  <si>
    <t>722290234R00</t>
  </si>
  <si>
    <t>Proplach a dezinfekce vodovodního potrubí DN 80 mm</t>
  </si>
  <si>
    <t>72</t>
  </si>
  <si>
    <t>722280106R00</t>
  </si>
  <si>
    <t>Tlaková zkouška vodovodního potrubí DN 32 mm</t>
  </si>
  <si>
    <t>73</t>
  </si>
  <si>
    <t>998722102R00</t>
  </si>
  <si>
    <t>Přesun hmot pro vnitřní vodovod, výšky do 12 m</t>
  </si>
  <si>
    <t>725</t>
  </si>
  <si>
    <t>Zařizovací předměty</t>
  </si>
  <si>
    <t>74</t>
  </si>
  <si>
    <t>725110811R00</t>
  </si>
  <si>
    <t>Demontáž klozetů splachovacích</t>
  </si>
  <si>
    <t>725_</t>
  </si>
  <si>
    <t>75</t>
  </si>
  <si>
    <t>725210821R00</t>
  </si>
  <si>
    <t>Demontáž umyvadel bez výtokových armatur</t>
  </si>
  <si>
    <t>76</t>
  </si>
  <si>
    <t>725840850R00</t>
  </si>
  <si>
    <t>Demontáž baterie sprchové diferenciální G 3/4" x 1"</t>
  </si>
  <si>
    <t>77</t>
  </si>
  <si>
    <t>725820802R00</t>
  </si>
  <si>
    <t>Demontáž baterie stojánkové do 1 otvoru</t>
  </si>
  <si>
    <t>78</t>
  </si>
  <si>
    <t>725860811R00</t>
  </si>
  <si>
    <t>Demontáž uzávěrek zápachových jednoduchých</t>
  </si>
  <si>
    <t>79</t>
  </si>
  <si>
    <t>725240812R00</t>
  </si>
  <si>
    <t>Demontáž sprchových mís bez výtokových armatur</t>
  </si>
  <si>
    <t>80</t>
  </si>
  <si>
    <t>725820801R00</t>
  </si>
  <si>
    <t>Demontáž baterie nástěnné do G 3/4"</t>
  </si>
  <si>
    <t>81</t>
  </si>
  <si>
    <t>82</t>
  </si>
  <si>
    <t>725991811R00</t>
  </si>
  <si>
    <t>Demontáž konzol jednoduchých</t>
  </si>
  <si>
    <t>konzola na závěs do sprchy</t>
  </si>
  <si>
    <t>83</t>
  </si>
  <si>
    <t>725219401R00</t>
  </si>
  <si>
    <t>Montáž umyvadel na šrouby do zdiva</t>
  </si>
  <si>
    <t>84</t>
  </si>
  <si>
    <t>725017162R00</t>
  </si>
  <si>
    <t>Umyvadlo na šrouby   550 x 450 mm, bílé</t>
  </si>
  <si>
    <t>85</t>
  </si>
  <si>
    <t>725860213R00</t>
  </si>
  <si>
    <t>Sifon podomítkový umyvadlový HL 132, D32,  40 mm</t>
  </si>
  <si>
    <t>86</t>
  </si>
  <si>
    <t>725860107R00</t>
  </si>
  <si>
    <t>Uzávěrka zápachová umyvadlová T 1015, D 40 mm</t>
  </si>
  <si>
    <t>87</t>
  </si>
  <si>
    <t>725829301R00</t>
  </si>
  <si>
    <t>Montáž baterie nástěnná u umyvadla koupelna</t>
  </si>
  <si>
    <t>88</t>
  </si>
  <si>
    <t>725849201R00</t>
  </si>
  <si>
    <t>Montáž baterií sprchových, pevná výška</t>
  </si>
  <si>
    <t>89</t>
  </si>
  <si>
    <t>725860181RT1</t>
  </si>
  <si>
    <t>Sifon pračkový HL404.1, D 40/50 mm nerezový</t>
  </si>
  <si>
    <t>90</t>
  </si>
  <si>
    <t>725860222R00</t>
  </si>
  <si>
    <t>Sifon sprchový PP HL514SN, D 40/50 mm</t>
  </si>
  <si>
    <t>91</t>
  </si>
  <si>
    <t>725810402R00</t>
  </si>
  <si>
    <t>Ventil rohový bez přípojovací trubičky TE 66 G 1/2"</t>
  </si>
  <si>
    <t>92</t>
  </si>
  <si>
    <t>725249102R00</t>
  </si>
  <si>
    <t>Montáž sprchových mís a vaniček</t>
  </si>
  <si>
    <t>93</t>
  </si>
  <si>
    <t>725825111R00</t>
  </si>
  <si>
    <t>Baterie umyvadlová nástěnná ruční</t>
  </si>
  <si>
    <t>94</t>
  </si>
  <si>
    <t>725823114R00</t>
  </si>
  <si>
    <t>Baterie dřezová stojánková ruční, bez otvírání odpadu</t>
  </si>
  <si>
    <t>725845111R00</t>
  </si>
  <si>
    <t>Baterie sprchová nástěnná ruční,</t>
  </si>
  <si>
    <t>725814125R00</t>
  </si>
  <si>
    <t>Ventil pračkový  DN 20 mm</t>
  </si>
  <si>
    <t>97</t>
  </si>
  <si>
    <t>725119305R00</t>
  </si>
  <si>
    <t>Montáž klozetových mís kombinovaných</t>
  </si>
  <si>
    <t>98</t>
  </si>
  <si>
    <t>725013161R00</t>
  </si>
  <si>
    <t>Klozet kombi , nádrž s armaturou, odpad šikmý</t>
  </si>
  <si>
    <t>55423038.A</t>
  </si>
  <si>
    <t>Sprchová vanička čtvrt kruh  900 x 900 mm  - dle vzorkování</t>
  </si>
  <si>
    <t>M</t>
  </si>
  <si>
    <t>100</t>
  </si>
  <si>
    <t>55428097.A</t>
  </si>
  <si>
    <t>Sprchová zástěna čtvrtkruhový , 900 x 900 mm - dle vzorkování</t>
  </si>
  <si>
    <t>101</t>
  </si>
  <si>
    <t>998725102R00</t>
  </si>
  <si>
    <t>Přesun hmot pro zařizovací předměty, výšky do 12 m</t>
  </si>
  <si>
    <t>735</t>
  </si>
  <si>
    <t>Otopná tělesa</t>
  </si>
  <si>
    <t>102</t>
  </si>
  <si>
    <t>730. 1</t>
  </si>
  <si>
    <t>Dodávka a montáž 2x radiatorů ÚT, vč. demontáže stávajících, termoreg. hlavice</t>
  </si>
  <si>
    <t>735_</t>
  </si>
  <si>
    <t>_73_</t>
  </si>
  <si>
    <t>103</t>
  </si>
  <si>
    <t>735. 2</t>
  </si>
  <si>
    <t>Dod + mont topný žebřík, vč. napojení, termoreg. hlavice - dle vzorkování</t>
  </si>
  <si>
    <t>766</t>
  </si>
  <si>
    <t>Konstrukce truhlářské</t>
  </si>
  <si>
    <t>104</t>
  </si>
  <si>
    <t>766662811R00</t>
  </si>
  <si>
    <t>Demontáž prahů dveří 1křídlových</t>
  </si>
  <si>
    <t>766_</t>
  </si>
  <si>
    <t>_76_</t>
  </si>
  <si>
    <t>105</t>
  </si>
  <si>
    <t>766812840R00</t>
  </si>
  <si>
    <t>Demontáž kuchyňských linek do 2,1 m</t>
  </si>
  <si>
    <t>106</t>
  </si>
  <si>
    <t>766825811R00</t>
  </si>
  <si>
    <t>Demontáž vestavěných skříní 1křídlových</t>
  </si>
  <si>
    <t>107</t>
  </si>
  <si>
    <t>766825821R00</t>
  </si>
  <si>
    <t>Demontáž vestavěných skříní 2křídlových</t>
  </si>
  <si>
    <t>108</t>
  </si>
  <si>
    <t>766661112R00</t>
  </si>
  <si>
    <t>Montáž dveří do zárubně,otevíravých 1kř.do 0,8 m</t>
  </si>
  <si>
    <t>109</t>
  </si>
  <si>
    <t>766812115R00</t>
  </si>
  <si>
    <t>Montáž kuchyňských linek dřevěných linek š.do 2,4m</t>
  </si>
  <si>
    <t>110</t>
  </si>
  <si>
    <t>766. 1</t>
  </si>
  <si>
    <t>Dodávka kuchyňská linka - dle schématu " kuchyně Brodská "</t>
  </si>
  <si>
    <t>111</t>
  </si>
  <si>
    <t>766. 2</t>
  </si>
  <si>
    <t>Demontáž garnýže, vč. likvidace</t>
  </si>
  <si>
    <t>ks</t>
  </si>
  <si>
    <t>112</t>
  </si>
  <si>
    <t>766695212R00</t>
  </si>
  <si>
    <t>Montáž prahů dveří jednokřídlových š. do 10 cm</t>
  </si>
  <si>
    <t>vstupní dveře</t>
  </si>
  <si>
    <t>113</t>
  </si>
  <si>
    <t>6116. 1</t>
  </si>
  <si>
    <t>Dveře vnitřní hladké 1 křídl. bílé, 2/3 sklo 800 x 1970 mm, CPL, DTD výplň, sklo bezpečnostní, kování, zámek - vše dle standarů</t>
  </si>
  <si>
    <t>114</t>
  </si>
  <si>
    <t>6116. 3</t>
  </si>
  <si>
    <t>Dveře vnitřní hladké 1 křídl. bílé, plné  800 x 1970 mm, CPL, DTD , kování, zámek - vše dle standarů</t>
  </si>
  <si>
    <t>115</t>
  </si>
  <si>
    <t>61187396</t>
  </si>
  <si>
    <t>Prah bukový dl. 800 mm, š. 100 mm, tl. 20 mm, dle standardů</t>
  </si>
  <si>
    <t>116</t>
  </si>
  <si>
    <t>998766102R00</t>
  </si>
  <si>
    <t>Přesun hmot pro truhlářské konstr., výšky do 12 m</t>
  </si>
  <si>
    <t>771</t>
  </si>
  <si>
    <t>Podlahy z dlaždic</t>
  </si>
  <si>
    <t>117</t>
  </si>
  <si>
    <t>771101210R00</t>
  </si>
  <si>
    <t>Penetrace podkladu pod dlažby</t>
  </si>
  <si>
    <t>771_</t>
  </si>
  <si>
    <t>_77_</t>
  </si>
  <si>
    <t>118</t>
  </si>
  <si>
    <t>771575109R00</t>
  </si>
  <si>
    <t>Montáž keramické dlažby, hladké, na tmel, 300 x 300 m</t>
  </si>
  <si>
    <t>2,6</t>
  </si>
  <si>
    <t>119</t>
  </si>
  <si>
    <t>771579791R00</t>
  </si>
  <si>
    <t>Příplatek za plochu podlah keram. do 5 m2 jednotl.</t>
  </si>
  <si>
    <t>120</t>
  </si>
  <si>
    <t>771578011R00</t>
  </si>
  <si>
    <t>Spára podlaha - stěna, silikonem</t>
  </si>
  <si>
    <t>koupelna vodorovně</t>
  </si>
  <si>
    <t>4*2,1</t>
  </si>
  <si>
    <t>0,6*2</t>
  </si>
  <si>
    <t>kuchyň. linka</t>
  </si>
  <si>
    <t>121</t>
  </si>
  <si>
    <t>59764231</t>
  </si>
  <si>
    <t>Dlažba protiskluzná 300 x 300 x 9 mm, dle vzorkování, dle standardů</t>
  </si>
  <si>
    <t>122</t>
  </si>
  <si>
    <t>998771102R00</t>
  </si>
  <si>
    <t>Přesun hmot pro podlahy z dlaždic, výšky do 12 m</t>
  </si>
  <si>
    <t>776</t>
  </si>
  <si>
    <t>Podlahy povlakové</t>
  </si>
  <si>
    <t>123</t>
  </si>
  <si>
    <t>776401800R00</t>
  </si>
  <si>
    <t>Demontáž soklíků nebo lišt, pryžových nebo z PVC</t>
  </si>
  <si>
    <t>776_</t>
  </si>
  <si>
    <t>(1,77+1,65)*2-0,8*3</t>
  </si>
  <si>
    <t>stávající chodba</t>
  </si>
  <si>
    <t>(3,48+4,14)*2-0,8</t>
  </si>
  <si>
    <t>(2,4+2,45)*2-0,8</t>
  </si>
  <si>
    <t>124</t>
  </si>
  <si>
    <t>776511810R00</t>
  </si>
  <si>
    <t>Odstranění PVC a koberců lepených bez podložky</t>
  </si>
  <si>
    <t>1,77*1,65</t>
  </si>
  <si>
    <t>3,48*4,14</t>
  </si>
  <si>
    <t>2,4*2,45</t>
  </si>
  <si>
    <t>125</t>
  </si>
  <si>
    <t>776421100RU1</t>
  </si>
  <si>
    <t>Lepení podlahových soklíků z PVC a vinylu</t>
  </si>
  <si>
    <t>včetně dodávky soklíku PVC</t>
  </si>
  <si>
    <t>126</t>
  </si>
  <si>
    <t>776521200R00</t>
  </si>
  <si>
    <t>Lepení povlakových podlah z dílců PVC a CV (vinyl)</t>
  </si>
  <si>
    <t>127</t>
  </si>
  <si>
    <t>776. 1</t>
  </si>
  <si>
    <t>Provedení spoje PVC - dlažba bez přechodových lišt</t>
  </si>
  <si>
    <t>128</t>
  </si>
  <si>
    <t>2841</t>
  </si>
  <si>
    <t>Dodávka podlahovina PVC - dle Standardu a vzorkování</t>
  </si>
  <si>
    <t>23,3*1,1</t>
  </si>
  <si>
    <t>129</t>
  </si>
  <si>
    <t>998776102R00</t>
  </si>
  <si>
    <t>Přesun hmot pro podlahy povlakové, výšky do 12 m</t>
  </si>
  <si>
    <t>777</t>
  </si>
  <si>
    <t>Podlahy ze syntetických hmot</t>
  </si>
  <si>
    <t>130</t>
  </si>
  <si>
    <t>777553010R00</t>
  </si>
  <si>
    <t>Penetrace savého podkladu disperzí</t>
  </si>
  <si>
    <t>777_</t>
  </si>
  <si>
    <t>131</t>
  </si>
  <si>
    <t>777553210R00</t>
  </si>
  <si>
    <t>Vyrovnání podlah, samonivel. hmota  tl. 2mm</t>
  </si>
  <si>
    <t>132</t>
  </si>
  <si>
    <t>998777102R00</t>
  </si>
  <si>
    <t>Přesun hmot pro podlahy syntetické, výšky do 12 m</t>
  </si>
  <si>
    <t>781</t>
  </si>
  <si>
    <t>Obklady (keramické)</t>
  </si>
  <si>
    <t>133</t>
  </si>
  <si>
    <t>781475115R00</t>
  </si>
  <si>
    <t>Obklad vnitřní stěn keramický, do tmele, 25x25 cm</t>
  </si>
  <si>
    <t>781_</t>
  </si>
  <si>
    <t>_78_</t>
  </si>
  <si>
    <t>134</t>
  </si>
  <si>
    <t>781419711R00</t>
  </si>
  <si>
    <t>Příplatek k obkladu stěn za plochu do 10 m2 jedntl</t>
  </si>
  <si>
    <t>135</t>
  </si>
  <si>
    <t>781111111R00</t>
  </si>
  <si>
    <t>Řezání obkladaček diamantovým kotoučem</t>
  </si>
  <si>
    <t>3*1,8+2,1</t>
  </si>
  <si>
    <t>136</t>
  </si>
  <si>
    <t>781111116R00</t>
  </si>
  <si>
    <t>Otvor v obkladačce diamant.korunkou prům.do 90 mm</t>
  </si>
  <si>
    <t>137</t>
  </si>
  <si>
    <t>5978</t>
  </si>
  <si>
    <t>Obkládačka  200 x 250 mm, dle vzorkování</t>
  </si>
  <si>
    <t>13,995*1,1</t>
  </si>
  <si>
    <t>138</t>
  </si>
  <si>
    <t>998781102R00</t>
  </si>
  <si>
    <t>Přesun hmot pro obklady keramické, výšky do 12 m</t>
  </si>
  <si>
    <t>783</t>
  </si>
  <si>
    <t>Nátěry</t>
  </si>
  <si>
    <t>139</t>
  </si>
  <si>
    <t>783222100RV1</t>
  </si>
  <si>
    <t>Nátěr syntetický kovových konstrukcí dvojnásobný</t>
  </si>
  <si>
    <t>783_</t>
  </si>
  <si>
    <t>zárubně - dle standardů</t>
  </si>
  <si>
    <t>784</t>
  </si>
  <si>
    <t>Malby</t>
  </si>
  <si>
    <t>140</t>
  </si>
  <si>
    <t>784161401R00</t>
  </si>
  <si>
    <t>Penetrace podkladu nátěrem , 1 x</t>
  </si>
  <si>
    <t>784_</t>
  </si>
  <si>
    <t>141</t>
  </si>
  <si>
    <t>784165512R00</t>
  </si>
  <si>
    <t>Malba bílá, bez penetrace, 2 x - dle standardů</t>
  </si>
  <si>
    <t>29+98</t>
  </si>
  <si>
    <t>M21</t>
  </si>
  <si>
    <t>Elektromontáže</t>
  </si>
  <si>
    <t>142</t>
  </si>
  <si>
    <t>210. 1</t>
  </si>
  <si>
    <t>Montáž sporáku</t>
  </si>
  <si>
    <t>M21_</t>
  </si>
  <si>
    <t>143</t>
  </si>
  <si>
    <t>210. 2</t>
  </si>
  <si>
    <t>Dodávka sporák elektrický</t>
  </si>
  <si>
    <t>144</t>
  </si>
  <si>
    <t>210. 3</t>
  </si>
  <si>
    <t>Dod + montáž digestoře recirkulační</t>
  </si>
  <si>
    <t>145</t>
  </si>
  <si>
    <t>210. 4</t>
  </si>
  <si>
    <t>D + M požární hlásič bateriový - životnost baterie min. 5 let</t>
  </si>
  <si>
    <t>146</t>
  </si>
  <si>
    <t>210. 5</t>
  </si>
  <si>
    <t>D + M elektroinstalace dle PD, revizní zpráva</t>
  </si>
  <si>
    <t>VORN</t>
  </si>
  <si>
    <t>03VRN</t>
  </si>
  <si>
    <t>147</t>
  </si>
  <si>
    <t>030001VRN</t>
  </si>
  <si>
    <t>Soubor</t>
  </si>
  <si>
    <t>03VRN_</t>
  </si>
  <si>
    <t>_Â _</t>
  </si>
  <si>
    <t>06VRN</t>
  </si>
  <si>
    <t>148</t>
  </si>
  <si>
    <t>065002VRN</t>
  </si>
  <si>
    <t>Mimostaveništní doprava</t>
  </si>
  <si>
    <t>06VRN_</t>
  </si>
</sst>
</file>

<file path=xl/styles.xml><?xml version="1.0" encoding="utf-8"?>
<styleSheet xmlns="http://schemas.openxmlformats.org/spreadsheetml/2006/main">
  <fonts count="15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0"/>
      <color rgb="FF400040"/>
      <name val="Arial"/>
      <charset val="238"/>
    </font>
    <font>
      <b/>
      <sz val="10"/>
      <color rgb="FF400040"/>
      <name val="Arial"/>
      <charset val="238"/>
    </font>
    <font>
      <i/>
      <sz val="10"/>
      <color rgb="FF000000"/>
      <name val="Arial"/>
      <charset val="238"/>
    </font>
    <font>
      <i/>
      <sz val="10"/>
      <color rgb="FF400040"/>
      <name val="Arial"/>
      <charset val="238"/>
    </font>
    <font>
      <i/>
      <sz val="10"/>
      <color rgb="FF0000FF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EAEAEA"/>
        <bgColor rgb="FFEAEAEA"/>
      </patternFill>
    </fill>
    <fill>
      <patternFill patternType="solid">
        <fgColor rgb="FFCCFFFF"/>
        <bgColor rgb="FFCCFFFF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left" vertical="center"/>
    </xf>
    <xf numFmtId="0" fontId="8" fillId="0" borderId="16" xfId="0" applyNumberFormat="1" applyFont="1" applyFill="1" applyBorder="1" applyAlignment="1" applyProtection="1">
      <alignment horizontal="left" vertical="center"/>
    </xf>
    <xf numFmtId="4" fontId="8" fillId="0" borderId="16" xfId="0" applyNumberFormat="1" applyFont="1" applyFill="1" applyBorder="1" applyAlignment="1" applyProtection="1">
      <alignment horizontal="right" vertical="center"/>
    </xf>
    <xf numFmtId="0" fontId="8" fillId="0" borderId="16" xfId="0" applyNumberFormat="1" applyFont="1" applyFill="1" applyBorder="1" applyAlignment="1" applyProtection="1">
      <alignment horizontal="right" vertical="center"/>
    </xf>
    <xf numFmtId="0" fontId="7" fillId="0" borderId="19" xfId="0" applyNumberFormat="1" applyFont="1" applyFill="1" applyBorder="1" applyAlignment="1" applyProtection="1">
      <alignment horizontal="left" vertical="center"/>
    </xf>
    <xf numFmtId="4" fontId="8" fillId="0" borderId="23" xfId="0" applyNumberFormat="1" applyFont="1" applyFill="1" applyBorder="1" applyAlignment="1" applyProtection="1">
      <alignment horizontal="right" vertical="center"/>
    </xf>
    <xf numFmtId="0" fontId="8" fillId="0" borderId="23" xfId="0" applyNumberFormat="1" applyFont="1" applyFill="1" applyBorder="1" applyAlignment="1" applyProtection="1">
      <alignment horizontal="right" vertical="center"/>
    </xf>
    <xf numFmtId="4" fontId="8" fillId="0" borderId="14" xfId="0" applyNumberFormat="1" applyFont="1" applyFill="1" applyBorder="1" applyAlignment="1" applyProtection="1">
      <alignment horizontal="right" vertical="center"/>
    </xf>
    <xf numFmtId="4" fontId="8" fillId="0" borderId="26" xfId="0" applyNumberFormat="1" applyFont="1" applyFill="1" applyBorder="1" applyAlignment="1" applyProtection="1">
      <alignment horizontal="right" vertical="center"/>
    </xf>
    <xf numFmtId="4" fontId="7" fillId="2" borderId="13" xfId="0" applyNumberFormat="1" applyFont="1" applyFill="1" applyBorder="1" applyAlignment="1" applyProtection="1">
      <alignment horizontal="right" vertical="center"/>
    </xf>
    <xf numFmtId="4" fontId="7" fillId="2" borderId="18" xfId="0" applyNumberFormat="1" applyFont="1" applyFill="1" applyBorder="1" applyAlignment="1" applyProtection="1">
      <alignment horizontal="righ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righ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4" fontId="2" fillId="0" borderId="49" xfId="0" applyNumberFormat="1" applyFont="1" applyFill="1" applyBorder="1" applyAlignment="1" applyProtection="1">
      <alignment horizontal="right" vertical="center"/>
    </xf>
    <xf numFmtId="0" fontId="2" fillId="0" borderId="49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right" vertical="center"/>
    </xf>
    <xf numFmtId="4" fontId="3" fillId="0" borderId="53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56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center" vertical="center"/>
    </xf>
    <xf numFmtId="0" fontId="3" fillId="3" borderId="60" xfId="0" applyNumberFormat="1" applyFont="1" applyFill="1" applyBorder="1" applyAlignment="1" applyProtection="1">
      <alignment horizontal="center" vertical="center"/>
      <protection locked="0"/>
    </xf>
    <xf numFmtId="0" fontId="3" fillId="0" borderId="61" xfId="0" applyNumberFormat="1" applyFont="1" applyFill="1" applyBorder="1" applyAlignment="1" applyProtection="1">
      <alignment horizontal="center" vertical="center"/>
    </xf>
    <xf numFmtId="0" fontId="0" fillId="0" borderId="62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" fillId="0" borderId="63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left" vertical="center"/>
    </xf>
    <xf numFmtId="0" fontId="3" fillId="3" borderId="64" xfId="0" applyNumberFormat="1" applyFont="1" applyFill="1" applyBorder="1" applyAlignment="1" applyProtection="1">
      <alignment horizontal="center" vertical="center"/>
      <protection locked="0"/>
    </xf>
    <xf numFmtId="0" fontId="3" fillId="0" borderId="67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/>
    <xf numFmtId="0" fontId="10" fillId="4" borderId="68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10" fillId="4" borderId="40" xfId="0" applyNumberFormat="1" applyFont="1" applyFill="1" applyBorder="1" applyAlignment="1" applyProtection="1">
      <alignment horizontal="left" vertical="center"/>
    </xf>
    <xf numFmtId="0" fontId="10" fillId="5" borderId="40" xfId="0" applyNumberFormat="1" applyFont="1" applyFill="1" applyBorder="1" applyAlignment="1" applyProtection="1">
      <alignment horizontal="left" vertical="center"/>
      <protection locked="0"/>
    </xf>
    <xf numFmtId="4" fontId="11" fillId="4" borderId="40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5" borderId="0" xfId="0" applyNumberFormat="1" applyFont="1" applyFill="1" applyBorder="1" applyAlignment="1" applyProtection="1">
      <alignment horizontal="lef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4" fontId="2" fillId="3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8" xfId="0" applyNumberFormat="1" applyFont="1" applyFill="1" applyBorder="1" applyAlignment="1" applyProtection="1"/>
    <xf numFmtId="0" fontId="0" fillId="0" borderId="9" xfId="0" applyNumberFormat="1" applyFont="1" applyFill="1" applyBorder="1" applyAlignment="1" applyProtection="1"/>
    <xf numFmtId="4" fontId="3" fillId="0" borderId="69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left" vertical="center"/>
    </xf>
    <xf numFmtId="0" fontId="7" fillId="0" borderId="20" xfId="0" applyNumberFormat="1" applyFont="1" applyFill="1" applyBorder="1" applyAlignment="1" applyProtection="1">
      <alignment horizontal="left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13" xfId="0" applyNumberFormat="1" applyFont="1" applyFill="1" applyBorder="1" applyAlignment="1" applyProtection="1">
      <alignment horizontal="left" vertical="center"/>
    </xf>
    <xf numFmtId="0" fontId="8" fillId="0" borderId="17" xfId="0" applyNumberFormat="1" applyFont="1" applyFill="1" applyBorder="1" applyAlignment="1" applyProtection="1">
      <alignment horizontal="left" vertical="center"/>
    </xf>
    <xf numFmtId="0" fontId="8" fillId="0" borderId="18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7" fillId="0" borderId="17" xfId="0" applyNumberFormat="1" applyFont="1" applyFill="1" applyBorder="1" applyAlignment="1" applyProtection="1">
      <alignment horizontal="left" vertical="center"/>
    </xf>
    <xf numFmtId="0" fontId="7" fillId="2" borderId="25" xfId="0" applyNumberFormat="1" applyFont="1" applyFill="1" applyBorder="1" applyAlignment="1" applyProtection="1">
      <alignment horizontal="left" vertical="center"/>
    </xf>
    <xf numFmtId="0" fontId="7" fillId="2" borderId="27" xfId="0" applyNumberFormat="1" applyFont="1" applyFill="1" applyBorder="1" applyAlignment="1" applyProtection="1">
      <alignment horizontal="left" vertical="center"/>
    </xf>
    <xf numFmtId="0" fontId="7" fillId="2" borderId="20" xfId="0" applyNumberFormat="1" applyFont="1" applyFill="1" applyBorder="1" applyAlignment="1" applyProtection="1">
      <alignment horizontal="left" vertical="center"/>
    </xf>
    <xf numFmtId="0" fontId="7" fillId="2" borderId="28" xfId="0" applyNumberFormat="1" applyFont="1" applyFill="1" applyBorder="1" applyAlignment="1" applyProtection="1">
      <alignment horizontal="left" vertical="center"/>
    </xf>
    <xf numFmtId="0" fontId="7" fillId="2" borderId="12" xfId="0" applyNumberFormat="1" applyFont="1" applyFill="1" applyBorder="1" applyAlignment="1" applyProtection="1">
      <alignment horizontal="left" vertical="center"/>
    </xf>
    <xf numFmtId="0" fontId="7" fillId="2" borderId="17" xfId="0" applyNumberFormat="1" applyFont="1" applyFill="1" applyBorder="1" applyAlignment="1" applyProtection="1">
      <alignment horizontal="left" vertical="center"/>
    </xf>
    <xf numFmtId="0" fontId="8" fillId="0" borderId="29" xfId="0" applyNumberFormat="1" applyFont="1" applyFill="1" applyBorder="1" applyAlignment="1" applyProtection="1">
      <alignment horizontal="left" vertical="center"/>
    </xf>
    <xf numFmtId="0" fontId="8" fillId="0" borderId="30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4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3" fillId="0" borderId="4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2" fillId="0" borderId="47" xfId="0" applyNumberFormat="1" applyFont="1" applyFill="1" applyBorder="1" applyAlignment="1" applyProtection="1">
      <alignment horizontal="left" vertical="center"/>
    </xf>
    <xf numFmtId="0" fontId="2" fillId="0" borderId="48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7" fillId="0" borderId="50" xfId="0" applyNumberFormat="1" applyFont="1" applyFill="1" applyBorder="1" applyAlignment="1" applyProtection="1">
      <alignment horizontal="left" vertical="center"/>
    </xf>
    <xf numFmtId="0" fontId="7" fillId="0" borderId="51" xfId="0" applyNumberFormat="1" applyFont="1" applyFill="1" applyBorder="1" applyAlignment="1" applyProtection="1">
      <alignment horizontal="left" vertical="center"/>
    </xf>
    <xf numFmtId="0" fontId="7" fillId="0" borderId="52" xfId="0" applyNumberFormat="1" applyFont="1" applyFill="1" applyBorder="1" applyAlignment="1" applyProtection="1">
      <alignment horizontal="left" vertical="center"/>
    </xf>
    <xf numFmtId="4" fontId="7" fillId="0" borderId="54" xfId="0" applyNumberFormat="1" applyFont="1" applyFill="1" applyBorder="1" applyAlignment="1" applyProtection="1">
      <alignment horizontal="right" vertical="center"/>
    </xf>
    <xf numFmtId="0" fontId="7" fillId="0" borderId="51" xfId="0" applyNumberFormat="1" applyFont="1" applyFill="1" applyBorder="1" applyAlignment="1" applyProtection="1">
      <alignment horizontal="right" vertical="center"/>
    </xf>
    <xf numFmtId="0" fontId="7" fillId="0" borderId="52" xfId="0" applyNumberFormat="1" applyFont="1" applyFill="1" applyBorder="1" applyAlignment="1" applyProtection="1">
      <alignment horizontal="righ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3" borderId="3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3" borderId="41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8" xfId="0" applyNumberFormat="1" applyFont="1" applyFill="1" applyBorder="1" applyAlignment="1" applyProtection="1">
      <alignment horizontal="left" vertical="center"/>
      <protection locked="0"/>
    </xf>
    <xf numFmtId="0" fontId="2" fillId="3" borderId="9" xfId="0" applyNumberFormat="1" applyFont="1" applyFill="1" applyBorder="1" applyAlignment="1" applyProtection="1">
      <alignment horizontal="left" vertical="center"/>
      <protection locked="0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 wrapText="1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3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6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65" t="s">
        <v>0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100-2025 Brodská 1876/27  byt č. 29, 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  3.NP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 t="str">
        <f>'Stavební rozpočet'!G4</f>
        <v xml:space="preserve"> 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148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2" spans="1:9" ht="23.25">
      <c r="A12" s="84" t="s">
        <v>15</v>
      </c>
      <c r="B12" s="84"/>
      <c r="C12" s="84"/>
      <c r="D12" s="84"/>
      <c r="E12" s="84"/>
      <c r="F12" s="84"/>
      <c r="G12" s="84"/>
      <c r="H12" s="84"/>
      <c r="I12" s="84"/>
    </row>
    <row r="13" spans="1:9" ht="26.25" customHeight="1">
      <c r="A13" s="6" t="s">
        <v>16</v>
      </c>
      <c r="B13" s="85" t="s">
        <v>17</v>
      </c>
      <c r="C13" s="86"/>
      <c r="D13" s="7" t="s">
        <v>18</v>
      </c>
      <c r="E13" s="85" t="s">
        <v>19</v>
      </c>
      <c r="F13" s="86"/>
      <c r="G13" s="7" t="s">
        <v>20</v>
      </c>
      <c r="H13" s="85" t="s">
        <v>21</v>
      </c>
      <c r="I13" s="86"/>
    </row>
    <row r="14" spans="1:9" ht="15.75">
      <c r="A14" s="8" t="s">
        <v>22</v>
      </c>
      <c r="B14" s="9" t="s">
        <v>23</v>
      </c>
      <c r="C14" s="10">
        <f>SUM('Stavební rozpočet'!AB12:AB558)</f>
        <v>0</v>
      </c>
      <c r="D14" s="93" t="s">
        <v>24</v>
      </c>
      <c r="E14" s="94"/>
      <c r="F14" s="10">
        <f>VORN!I15</f>
        <v>0</v>
      </c>
      <c r="G14" s="93" t="s">
        <v>25</v>
      </c>
      <c r="H14" s="94"/>
      <c r="I14" s="11">
        <f>VORN!I21</f>
        <v>0</v>
      </c>
    </row>
    <row r="15" spans="1:9" ht="15.75">
      <c r="A15" s="12" t="s">
        <v>4</v>
      </c>
      <c r="B15" s="9" t="s">
        <v>26</v>
      </c>
      <c r="C15" s="10">
        <f>SUM('Stavební rozpočet'!AC12:AC558)</f>
        <v>0</v>
      </c>
      <c r="D15" s="93" t="s">
        <v>27</v>
      </c>
      <c r="E15" s="94"/>
      <c r="F15" s="10">
        <f>VORN!I16</f>
        <v>0</v>
      </c>
      <c r="G15" s="93" t="s">
        <v>28</v>
      </c>
      <c r="H15" s="94"/>
      <c r="I15" s="11">
        <f>VORN!I22</f>
        <v>0</v>
      </c>
    </row>
    <row r="16" spans="1:9" ht="15.75">
      <c r="A16" s="8" t="s">
        <v>29</v>
      </c>
      <c r="B16" s="9" t="s">
        <v>23</v>
      </c>
      <c r="C16" s="10">
        <f>SUM('Stavební rozpočet'!AD12:AD558)</f>
        <v>0</v>
      </c>
      <c r="D16" s="93" t="s">
        <v>30</v>
      </c>
      <c r="E16" s="94"/>
      <c r="F16" s="10">
        <f>VORN!I17</f>
        <v>0</v>
      </c>
      <c r="G16" s="93" t="s">
        <v>31</v>
      </c>
      <c r="H16" s="94"/>
      <c r="I16" s="11">
        <f>VORN!I23</f>
        <v>0</v>
      </c>
    </row>
    <row r="17" spans="1:9" ht="15.75">
      <c r="A17" s="12" t="s">
        <v>4</v>
      </c>
      <c r="B17" s="9" t="s">
        <v>26</v>
      </c>
      <c r="C17" s="10">
        <f>SUM('Stavební rozpočet'!AE12:AE558)</f>
        <v>0</v>
      </c>
      <c r="D17" s="93" t="s">
        <v>4</v>
      </c>
      <c r="E17" s="94"/>
      <c r="F17" s="11" t="s">
        <v>4</v>
      </c>
      <c r="G17" s="93" t="s">
        <v>32</v>
      </c>
      <c r="H17" s="94"/>
      <c r="I17" s="11">
        <f>VORN!I24</f>
        <v>0</v>
      </c>
    </row>
    <row r="18" spans="1:9" ht="15.75">
      <c r="A18" s="8" t="s">
        <v>33</v>
      </c>
      <c r="B18" s="9" t="s">
        <v>23</v>
      </c>
      <c r="C18" s="10">
        <f>SUM('Stavební rozpočet'!AF12:AF558)</f>
        <v>0</v>
      </c>
      <c r="D18" s="93" t="s">
        <v>4</v>
      </c>
      <c r="E18" s="94"/>
      <c r="F18" s="11" t="s">
        <v>4</v>
      </c>
      <c r="G18" s="93" t="s">
        <v>34</v>
      </c>
      <c r="H18" s="94"/>
      <c r="I18" s="11">
        <f>VORN!I25</f>
        <v>0</v>
      </c>
    </row>
    <row r="19" spans="1:9" ht="15.75">
      <c r="A19" s="12" t="s">
        <v>4</v>
      </c>
      <c r="B19" s="9" t="s">
        <v>26</v>
      </c>
      <c r="C19" s="10">
        <f>SUM('Stavební rozpočet'!AG12:AG558)</f>
        <v>0</v>
      </c>
      <c r="D19" s="93" t="s">
        <v>4</v>
      </c>
      <c r="E19" s="94"/>
      <c r="F19" s="11" t="s">
        <v>4</v>
      </c>
      <c r="G19" s="93" t="s">
        <v>35</v>
      </c>
      <c r="H19" s="94"/>
      <c r="I19" s="11">
        <f>VORN!I26</f>
        <v>0</v>
      </c>
    </row>
    <row r="20" spans="1:9" ht="15.75">
      <c r="A20" s="87" t="s">
        <v>36</v>
      </c>
      <c r="B20" s="88"/>
      <c r="C20" s="10">
        <f>SUM('Stavební rozpočet'!AH12:AH558)</f>
        <v>0</v>
      </c>
      <c r="D20" s="93" t="s">
        <v>4</v>
      </c>
      <c r="E20" s="94"/>
      <c r="F20" s="11" t="s">
        <v>4</v>
      </c>
      <c r="G20" s="93" t="s">
        <v>4</v>
      </c>
      <c r="H20" s="94"/>
      <c r="I20" s="11" t="s">
        <v>4</v>
      </c>
    </row>
    <row r="21" spans="1:9" ht="15.75">
      <c r="A21" s="89" t="s">
        <v>37</v>
      </c>
      <c r="B21" s="90"/>
      <c r="C21" s="13">
        <f>SUM('Stavební rozpočet'!Z12:Z558)</f>
        <v>0</v>
      </c>
      <c r="D21" s="95" t="s">
        <v>4</v>
      </c>
      <c r="E21" s="96"/>
      <c r="F21" s="14" t="s">
        <v>4</v>
      </c>
      <c r="G21" s="95" t="s">
        <v>4</v>
      </c>
      <c r="H21" s="96"/>
      <c r="I21" s="14" t="s">
        <v>4</v>
      </c>
    </row>
    <row r="22" spans="1:9" ht="16.5" customHeight="1">
      <c r="A22" s="91" t="s">
        <v>38</v>
      </c>
      <c r="B22" s="92"/>
      <c r="C22" s="15">
        <f>ROUND(SUM(C14:C21),2)</f>
        <v>0</v>
      </c>
      <c r="D22" s="97" t="s">
        <v>39</v>
      </c>
      <c r="E22" s="92"/>
      <c r="F22" s="15">
        <f>SUM(F14:F21)</f>
        <v>0</v>
      </c>
      <c r="G22" s="97" t="s">
        <v>40</v>
      </c>
      <c r="H22" s="92"/>
      <c r="I22" s="15">
        <f>SUM(I14:I21)</f>
        <v>0</v>
      </c>
    </row>
    <row r="23" spans="1:9" ht="15.75">
      <c r="D23" s="87" t="s">
        <v>41</v>
      </c>
      <c r="E23" s="88"/>
      <c r="F23" s="16">
        <v>0</v>
      </c>
      <c r="G23" s="98" t="s">
        <v>42</v>
      </c>
      <c r="H23" s="88"/>
      <c r="I23" s="10">
        <v>0</v>
      </c>
    </row>
    <row r="24" spans="1:9" ht="15.75">
      <c r="G24" s="87" t="s">
        <v>43</v>
      </c>
      <c r="H24" s="88"/>
      <c r="I24" s="13">
        <f>vorn_sum</f>
        <v>0</v>
      </c>
    </row>
    <row r="25" spans="1:9" ht="15.75">
      <c r="G25" s="87" t="s">
        <v>44</v>
      </c>
      <c r="H25" s="88"/>
      <c r="I25" s="15">
        <v>0</v>
      </c>
    </row>
    <row r="27" spans="1:9" ht="15.75">
      <c r="A27" s="99" t="s">
        <v>45</v>
      </c>
      <c r="B27" s="100"/>
      <c r="C27" s="17">
        <f>ROUND(SUM('Stavební rozpočet'!AJ12:AJ558),2)</f>
        <v>0</v>
      </c>
    </row>
    <row r="28" spans="1:9" ht="15.75">
      <c r="A28" s="101" t="s">
        <v>46</v>
      </c>
      <c r="B28" s="102"/>
      <c r="C28" s="18">
        <f>ROUND(SUM('Stavební rozpočet'!AK12:AK558),2)</f>
        <v>0</v>
      </c>
      <c r="D28" s="103" t="s">
        <v>47</v>
      </c>
      <c r="E28" s="100"/>
      <c r="F28" s="17">
        <f>ROUND(C28*(12/100),2)</f>
        <v>0</v>
      </c>
      <c r="G28" s="103" t="s">
        <v>48</v>
      </c>
      <c r="H28" s="100"/>
      <c r="I28" s="17">
        <f>ROUND(SUM(C27:C29),2)</f>
        <v>0</v>
      </c>
    </row>
    <row r="29" spans="1:9" ht="15.75">
      <c r="A29" s="101" t="s">
        <v>49</v>
      </c>
      <c r="B29" s="102"/>
      <c r="C29" s="18">
        <f>ROUND(SUM('Stavební rozpočet'!AL12:AL558),2)</f>
        <v>0</v>
      </c>
      <c r="D29" s="104" t="s">
        <v>50</v>
      </c>
      <c r="E29" s="102"/>
      <c r="F29" s="18">
        <f>ROUND(C29*(21/100),2)</f>
        <v>0</v>
      </c>
      <c r="G29" s="104" t="s">
        <v>51</v>
      </c>
      <c r="H29" s="102"/>
      <c r="I29" s="18">
        <f>ROUND(SUM(F28:F29)+I28,0)</f>
        <v>0</v>
      </c>
    </row>
    <row r="31" spans="1:9">
      <c r="A31" s="105" t="s">
        <v>52</v>
      </c>
      <c r="B31" s="106"/>
      <c r="C31" s="107"/>
      <c r="D31" s="114" t="s">
        <v>53</v>
      </c>
      <c r="E31" s="106"/>
      <c r="F31" s="107"/>
      <c r="G31" s="114" t="s">
        <v>54</v>
      </c>
      <c r="H31" s="106"/>
      <c r="I31" s="107"/>
    </row>
    <row r="32" spans="1:9">
      <c r="A32" s="108" t="s">
        <v>4</v>
      </c>
      <c r="B32" s="109"/>
      <c r="C32" s="110"/>
      <c r="D32" s="115" t="s">
        <v>4</v>
      </c>
      <c r="E32" s="109"/>
      <c r="F32" s="110"/>
      <c r="G32" s="115" t="s">
        <v>4</v>
      </c>
      <c r="H32" s="109"/>
      <c r="I32" s="110"/>
    </row>
    <row r="33" spans="1:9">
      <c r="A33" s="108" t="s">
        <v>4</v>
      </c>
      <c r="B33" s="109"/>
      <c r="C33" s="110"/>
      <c r="D33" s="115" t="s">
        <v>4</v>
      </c>
      <c r="E33" s="109"/>
      <c r="F33" s="110"/>
      <c r="G33" s="115" t="s">
        <v>4</v>
      </c>
      <c r="H33" s="109"/>
      <c r="I33" s="110"/>
    </row>
    <row r="34" spans="1:9">
      <c r="A34" s="108" t="s">
        <v>4</v>
      </c>
      <c r="B34" s="109"/>
      <c r="C34" s="110"/>
      <c r="D34" s="115" t="s">
        <v>4</v>
      </c>
      <c r="E34" s="109"/>
      <c r="F34" s="110"/>
      <c r="G34" s="115" t="s">
        <v>4</v>
      </c>
      <c r="H34" s="109"/>
      <c r="I34" s="110"/>
    </row>
    <row r="35" spans="1:9">
      <c r="A35" s="111" t="s">
        <v>55</v>
      </c>
      <c r="B35" s="112"/>
      <c r="C35" s="113"/>
      <c r="D35" s="116" t="s">
        <v>55</v>
      </c>
      <c r="E35" s="112"/>
      <c r="F35" s="113"/>
      <c r="G35" s="116" t="s">
        <v>55</v>
      </c>
      <c r="H35" s="112"/>
      <c r="I35" s="113"/>
    </row>
    <row r="36" spans="1:9">
      <c r="A36" s="19" t="s">
        <v>56</v>
      </c>
    </row>
    <row r="37" spans="1:9" ht="12.75" customHeight="1">
      <c r="A37" s="75" t="s">
        <v>4</v>
      </c>
      <c r="B37" s="70"/>
      <c r="C37" s="70"/>
      <c r="D37" s="70"/>
      <c r="E37" s="70"/>
      <c r="F37" s="70"/>
      <c r="G37" s="70"/>
      <c r="H37" s="70"/>
      <c r="I37" s="70"/>
    </row>
  </sheetData>
  <sheetProtection password="CF7A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65" t="s">
        <v>57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100-2025 Brodská 1876/27  byt č. 29, 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  3.NP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 t="str">
        <f>'Stavební rozpočet'!G4</f>
        <v xml:space="preserve"> 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148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3" spans="1:9" ht="15.75">
      <c r="A13" s="117" t="s">
        <v>58</v>
      </c>
      <c r="B13" s="117"/>
      <c r="C13" s="117"/>
      <c r="D13" s="117"/>
      <c r="E13" s="117"/>
    </row>
    <row r="14" spans="1:9">
      <c r="A14" s="118" t="s">
        <v>59</v>
      </c>
      <c r="B14" s="119"/>
      <c r="C14" s="119"/>
      <c r="D14" s="119"/>
      <c r="E14" s="120"/>
      <c r="F14" s="20" t="s">
        <v>60</v>
      </c>
      <c r="G14" s="20" t="s">
        <v>61</v>
      </c>
      <c r="H14" s="20" t="s">
        <v>62</v>
      </c>
      <c r="I14" s="20" t="s">
        <v>60</v>
      </c>
    </row>
    <row r="15" spans="1:9">
      <c r="A15" s="121" t="s">
        <v>24</v>
      </c>
      <c r="B15" s="122"/>
      <c r="C15" s="122"/>
      <c r="D15" s="122"/>
      <c r="E15" s="123"/>
      <c r="F15" s="21">
        <v>0</v>
      </c>
      <c r="G15" s="22" t="s">
        <v>4</v>
      </c>
      <c r="H15" s="22" t="s">
        <v>4</v>
      </c>
      <c r="I15" s="21">
        <f>F15</f>
        <v>0</v>
      </c>
    </row>
    <row r="16" spans="1:9">
      <c r="A16" s="121" t="s">
        <v>27</v>
      </c>
      <c r="B16" s="122"/>
      <c r="C16" s="122"/>
      <c r="D16" s="122"/>
      <c r="E16" s="123"/>
      <c r="F16" s="21">
        <v>0</v>
      </c>
      <c r="G16" s="22" t="s">
        <v>4</v>
      </c>
      <c r="H16" s="22" t="s">
        <v>4</v>
      </c>
      <c r="I16" s="21">
        <f>F16</f>
        <v>0</v>
      </c>
    </row>
    <row r="17" spans="1:9">
      <c r="A17" s="124" t="s">
        <v>30</v>
      </c>
      <c r="B17" s="125"/>
      <c r="C17" s="125"/>
      <c r="D17" s="125"/>
      <c r="E17" s="126"/>
      <c r="F17" s="23">
        <v>0</v>
      </c>
      <c r="G17" s="24" t="s">
        <v>4</v>
      </c>
      <c r="H17" s="24" t="s">
        <v>4</v>
      </c>
      <c r="I17" s="23">
        <f>F17</f>
        <v>0</v>
      </c>
    </row>
    <row r="18" spans="1:9">
      <c r="A18" s="127" t="s">
        <v>63</v>
      </c>
      <c r="B18" s="128"/>
      <c r="C18" s="128"/>
      <c r="D18" s="128"/>
      <c r="E18" s="129"/>
      <c r="F18" s="25" t="s">
        <v>4</v>
      </c>
      <c r="G18" s="26" t="s">
        <v>4</v>
      </c>
      <c r="H18" s="26" t="s">
        <v>4</v>
      </c>
      <c r="I18" s="27">
        <f>SUM(I15:I17)</f>
        <v>0</v>
      </c>
    </row>
    <row r="20" spans="1:9">
      <c r="A20" s="118" t="s">
        <v>21</v>
      </c>
      <c r="B20" s="119"/>
      <c r="C20" s="119"/>
      <c r="D20" s="119"/>
      <c r="E20" s="120"/>
      <c r="F20" s="20" t="s">
        <v>60</v>
      </c>
      <c r="G20" s="20" t="s">
        <v>61</v>
      </c>
      <c r="H20" s="20" t="s">
        <v>62</v>
      </c>
      <c r="I20" s="20" t="s">
        <v>60</v>
      </c>
    </row>
    <row r="21" spans="1:9">
      <c r="A21" s="121" t="s">
        <v>25</v>
      </c>
      <c r="B21" s="122"/>
      <c r="C21" s="122"/>
      <c r="D21" s="122"/>
      <c r="E21" s="123"/>
      <c r="F21" s="21">
        <v>0</v>
      </c>
      <c r="G21" s="22" t="s">
        <v>4</v>
      </c>
      <c r="H21" s="22" t="s">
        <v>4</v>
      </c>
      <c r="I21" s="21">
        <f t="shared" ref="I21:I26" si="0">F21</f>
        <v>0</v>
      </c>
    </row>
    <row r="22" spans="1:9">
      <c r="A22" s="121" t="s">
        <v>28</v>
      </c>
      <c r="B22" s="122"/>
      <c r="C22" s="122"/>
      <c r="D22" s="122"/>
      <c r="E22" s="123"/>
      <c r="F22" s="21">
        <v>0</v>
      </c>
      <c r="G22" s="22" t="s">
        <v>4</v>
      </c>
      <c r="H22" s="22" t="s">
        <v>4</v>
      </c>
      <c r="I22" s="21">
        <f t="shared" si="0"/>
        <v>0</v>
      </c>
    </row>
    <row r="23" spans="1:9">
      <c r="A23" s="121" t="s">
        <v>31</v>
      </c>
      <c r="B23" s="122"/>
      <c r="C23" s="122"/>
      <c r="D23" s="122"/>
      <c r="E23" s="123"/>
      <c r="F23" s="21">
        <v>0</v>
      </c>
      <c r="G23" s="22" t="s">
        <v>4</v>
      </c>
      <c r="H23" s="22" t="s">
        <v>4</v>
      </c>
      <c r="I23" s="21">
        <f t="shared" si="0"/>
        <v>0</v>
      </c>
    </row>
    <row r="24" spans="1:9">
      <c r="A24" s="121" t="s">
        <v>32</v>
      </c>
      <c r="B24" s="122"/>
      <c r="C24" s="122"/>
      <c r="D24" s="122"/>
      <c r="E24" s="123"/>
      <c r="F24" s="21">
        <v>0</v>
      </c>
      <c r="G24" s="22" t="s">
        <v>4</v>
      </c>
      <c r="H24" s="22" t="s">
        <v>4</v>
      </c>
      <c r="I24" s="21">
        <f t="shared" si="0"/>
        <v>0</v>
      </c>
    </row>
    <row r="25" spans="1:9">
      <c r="A25" s="121" t="s">
        <v>34</v>
      </c>
      <c r="B25" s="122"/>
      <c r="C25" s="122"/>
      <c r="D25" s="122"/>
      <c r="E25" s="123"/>
      <c r="F25" s="21">
        <v>0</v>
      </c>
      <c r="G25" s="22" t="s">
        <v>4</v>
      </c>
      <c r="H25" s="22" t="s">
        <v>4</v>
      </c>
      <c r="I25" s="21">
        <f t="shared" si="0"/>
        <v>0</v>
      </c>
    </row>
    <row r="26" spans="1:9">
      <c r="A26" s="124" t="s">
        <v>35</v>
      </c>
      <c r="B26" s="125"/>
      <c r="C26" s="125"/>
      <c r="D26" s="125"/>
      <c r="E26" s="126"/>
      <c r="F26" s="23">
        <v>0</v>
      </c>
      <c r="G26" s="24" t="s">
        <v>4</v>
      </c>
      <c r="H26" s="24" t="s">
        <v>4</v>
      </c>
      <c r="I26" s="23">
        <f t="shared" si="0"/>
        <v>0</v>
      </c>
    </row>
    <row r="27" spans="1:9">
      <c r="A27" s="127" t="s">
        <v>64</v>
      </c>
      <c r="B27" s="128"/>
      <c r="C27" s="128"/>
      <c r="D27" s="128"/>
      <c r="E27" s="129"/>
      <c r="F27" s="25" t="s">
        <v>4</v>
      </c>
      <c r="G27" s="26" t="s">
        <v>4</v>
      </c>
      <c r="H27" s="26" t="s">
        <v>4</v>
      </c>
      <c r="I27" s="27">
        <f>SUM(I21:I26)</f>
        <v>0</v>
      </c>
    </row>
    <row r="29" spans="1:9" ht="15.75">
      <c r="A29" s="130" t="s">
        <v>65</v>
      </c>
      <c r="B29" s="131"/>
      <c r="C29" s="131"/>
      <c r="D29" s="131"/>
      <c r="E29" s="132"/>
      <c r="F29" s="133">
        <f>I18+I27</f>
        <v>0</v>
      </c>
      <c r="G29" s="134"/>
      <c r="H29" s="134"/>
      <c r="I29" s="135"/>
    </row>
    <row r="33" spans="1:9" ht="15.75">
      <c r="A33" s="117" t="s">
        <v>66</v>
      </c>
      <c r="B33" s="117"/>
      <c r="C33" s="117"/>
      <c r="D33" s="117"/>
      <c r="E33" s="117"/>
    </row>
    <row r="34" spans="1:9">
      <c r="A34" s="118" t="s">
        <v>67</v>
      </c>
      <c r="B34" s="119"/>
      <c r="C34" s="119"/>
      <c r="D34" s="119"/>
      <c r="E34" s="120"/>
      <c r="F34" s="20" t="s">
        <v>60</v>
      </c>
      <c r="G34" s="20" t="s">
        <v>61</v>
      </c>
      <c r="H34" s="20" t="s">
        <v>62</v>
      </c>
      <c r="I34" s="20" t="s">
        <v>60</v>
      </c>
    </row>
    <row r="35" spans="1:9">
      <c r="A35" s="121" t="s">
        <v>68</v>
      </c>
      <c r="B35" s="122"/>
      <c r="C35" s="122"/>
      <c r="D35" s="122"/>
      <c r="E35" s="123"/>
      <c r="F35" s="21">
        <f>SUM('Stavební rozpočet'!BM12:BM558)</f>
        <v>0</v>
      </c>
      <c r="G35" s="22" t="s">
        <v>4</v>
      </c>
      <c r="H35" s="22" t="s">
        <v>4</v>
      </c>
      <c r="I35" s="21">
        <f t="shared" ref="I35:I44" si="1">F35</f>
        <v>0</v>
      </c>
    </row>
    <row r="36" spans="1:9">
      <c r="A36" s="121" t="s">
        <v>69</v>
      </c>
      <c r="B36" s="122"/>
      <c r="C36" s="122"/>
      <c r="D36" s="122"/>
      <c r="E36" s="123"/>
      <c r="F36" s="21">
        <f>SUM('Stavební rozpočet'!BN12:BN558)</f>
        <v>0</v>
      </c>
      <c r="G36" s="22" t="s">
        <v>4</v>
      </c>
      <c r="H36" s="22" t="s">
        <v>4</v>
      </c>
      <c r="I36" s="21">
        <f t="shared" si="1"/>
        <v>0</v>
      </c>
    </row>
    <row r="37" spans="1:9">
      <c r="A37" s="121" t="s">
        <v>25</v>
      </c>
      <c r="B37" s="122"/>
      <c r="C37" s="122"/>
      <c r="D37" s="122"/>
      <c r="E37" s="123"/>
      <c r="F37" s="21">
        <f>SUM('Stavební rozpočet'!BO12:BO558)</f>
        <v>0</v>
      </c>
      <c r="G37" s="22" t="s">
        <v>4</v>
      </c>
      <c r="H37" s="22" t="s">
        <v>4</v>
      </c>
      <c r="I37" s="21">
        <f t="shared" si="1"/>
        <v>0</v>
      </c>
    </row>
    <row r="38" spans="1:9">
      <c r="A38" s="121" t="s">
        <v>70</v>
      </c>
      <c r="B38" s="122"/>
      <c r="C38" s="122"/>
      <c r="D38" s="122"/>
      <c r="E38" s="123"/>
      <c r="F38" s="21">
        <f>SUM('Stavební rozpočet'!BP12:BP558)</f>
        <v>0</v>
      </c>
      <c r="G38" s="22" t="s">
        <v>4</v>
      </c>
      <c r="H38" s="22" t="s">
        <v>4</v>
      </c>
      <c r="I38" s="21">
        <f t="shared" si="1"/>
        <v>0</v>
      </c>
    </row>
    <row r="39" spans="1:9">
      <c r="A39" s="121" t="s">
        <v>71</v>
      </c>
      <c r="B39" s="122"/>
      <c r="C39" s="122"/>
      <c r="D39" s="122"/>
      <c r="E39" s="123"/>
      <c r="F39" s="21">
        <f>SUM('Stavební rozpočet'!BQ12:BQ558)</f>
        <v>0</v>
      </c>
      <c r="G39" s="22" t="s">
        <v>4</v>
      </c>
      <c r="H39" s="22" t="s">
        <v>4</v>
      </c>
      <c r="I39" s="21">
        <f t="shared" si="1"/>
        <v>0</v>
      </c>
    </row>
    <row r="40" spans="1:9">
      <c r="A40" s="121" t="s">
        <v>31</v>
      </c>
      <c r="B40" s="122"/>
      <c r="C40" s="122"/>
      <c r="D40" s="122"/>
      <c r="E40" s="123"/>
      <c r="F40" s="21">
        <f>SUM('Stavební rozpočet'!BR12:BR558)</f>
        <v>0</v>
      </c>
      <c r="G40" s="22" t="s">
        <v>4</v>
      </c>
      <c r="H40" s="22" t="s">
        <v>4</v>
      </c>
      <c r="I40" s="21">
        <f t="shared" si="1"/>
        <v>0</v>
      </c>
    </row>
    <row r="41" spans="1:9">
      <c r="A41" s="121" t="s">
        <v>32</v>
      </c>
      <c r="B41" s="122"/>
      <c r="C41" s="122"/>
      <c r="D41" s="122"/>
      <c r="E41" s="123"/>
      <c r="F41" s="21">
        <f>SUM('Stavební rozpočet'!BS12:BS558)</f>
        <v>0</v>
      </c>
      <c r="G41" s="22" t="s">
        <v>4</v>
      </c>
      <c r="H41" s="22" t="s">
        <v>4</v>
      </c>
      <c r="I41" s="21">
        <f t="shared" si="1"/>
        <v>0</v>
      </c>
    </row>
    <row r="42" spans="1:9">
      <c r="A42" s="121" t="s">
        <v>72</v>
      </c>
      <c r="B42" s="122"/>
      <c r="C42" s="122"/>
      <c r="D42" s="122"/>
      <c r="E42" s="123"/>
      <c r="F42" s="21">
        <f>SUM('Stavební rozpočet'!BT12:BT558)</f>
        <v>0</v>
      </c>
      <c r="G42" s="22" t="s">
        <v>4</v>
      </c>
      <c r="H42" s="22" t="s">
        <v>4</v>
      </c>
      <c r="I42" s="21">
        <f t="shared" si="1"/>
        <v>0</v>
      </c>
    </row>
    <row r="43" spans="1:9">
      <c r="A43" s="121" t="s">
        <v>73</v>
      </c>
      <c r="B43" s="122"/>
      <c r="C43" s="122"/>
      <c r="D43" s="122"/>
      <c r="E43" s="123"/>
      <c r="F43" s="21">
        <f>SUM('Stavební rozpočet'!BU12:BU558)</f>
        <v>0</v>
      </c>
      <c r="G43" s="22" t="s">
        <v>4</v>
      </c>
      <c r="H43" s="22" t="s">
        <v>4</v>
      </c>
      <c r="I43" s="21">
        <f t="shared" si="1"/>
        <v>0</v>
      </c>
    </row>
    <row r="44" spans="1:9">
      <c r="A44" s="124" t="s">
        <v>74</v>
      </c>
      <c r="B44" s="125"/>
      <c r="C44" s="125"/>
      <c r="D44" s="125"/>
      <c r="E44" s="126"/>
      <c r="F44" s="23">
        <f>SUM('Stavební rozpočet'!BV12:BV558)</f>
        <v>0</v>
      </c>
      <c r="G44" s="24" t="s">
        <v>4</v>
      </c>
      <c r="H44" s="24" t="s">
        <v>4</v>
      </c>
      <c r="I44" s="23">
        <f t="shared" si="1"/>
        <v>0</v>
      </c>
    </row>
    <row r="45" spans="1:9">
      <c r="A45" s="127" t="s">
        <v>75</v>
      </c>
      <c r="B45" s="128"/>
      <c r="C45" s="128"/>
      <c r="D45" s="128"/>
      <c r="E45" s="129"/>
      <c r="F45" s="25" t="s">
        <v>4</v>
      </c>
      <c r="G45" s="26" t="s">
        <v>4</v>
      </c>
      <c r="H45" s="26" t="s">
        <v>4</v>
      </c>
      <c r="I45" s="27">
        <f>SUM(I35:I44)</f>
        <v>0</v>
      </c>
    </row>
  </sheetData>
  <sheetProtection password="CF7A" sheet="1"/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282"/>
  <sheetViews>
    <sheetView workbookViewId="0">
      <pane ySplit="11" topLeftCell="A12" activePane="bottomLeft" state="frozen"/>
      <selection pane="bottomLeft" activeCell="G8" sqref="G8:G9"/>
    </sheetView>
  </sheetViews>
  <sheetFormatPr defaultColWidth="12.140625" defaultRowHeight="15" customHeight="1"/>
  <cols>
    <col min="1" max="1" width="3.140625" customWidth="1"/>
    <col min="2" max="2" width="17.85546875" customWidth="1"/>
    <col min="3" max="3" width="42.8554687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8" width="15.710937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66" t="s">
        <v>76</v>
      </c>
      <c r="B1" s="66"/>
      <c r="C1" s="66"/>
      <c r="D1" s="66"/>
      <c r="E1" s="66"/>
      <c r="F1" s="66"/>
      <c r="G1" s="66"/>
      <c r="H1" s="66"/>
      <c r="I1" s="66"/>
      <c r="J1" s="66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>
      <c r="A2" s="67" t="s">
        <v>1</v>
      </c>
      <c r="B2" s="68"/>
      <c r="C2" s="76" t="s">
        <v>77</v>
      </c>
      <c r="D2" s="77"/>
      <c r="E2" s="68" t="s">
        <v>78</v>
      </c>
      <c r="F2" s="68"/>
      <c r="G2" s="138" t="s">
        <v>79</v>
      </c>
      <c r="H2" s="74" t="s">
        <v>2</v>
      </c>
      <c r="I2" s="68" t="s">
        <v>80</v>
      </c>
      <c r="J2" s="79"/>
    </row>
    <row r="3" spans="1:76">
      <c r="A3" s="69"/>
      <c r="B3" s="70"/>
      <c r="C3" s="78"/>
      <c r="D3" s="78"/>
      <c r="E3" s="70"/>
      <c r="F3" s="70"/>
      <c r="G3" s="139"/>
      <c r="H3" s="70"/>
      <c r="I3" s="70"/>
      <c r="J3" s="80"/>
    </row>
    <row r="4" spans="1:76">
      <c r="A4" s="71" t="s">
        <v>5</v>
      </c>
      <c r="B4" s="70"/>
      <c r="C4" s="75" t="s">
        <v>81</v>
      </c>
      <c r="D4" s="70"/>
      <c r="E4" s="70" t="s">
        <v>9</v>
      </c>
      <c r="F4" s="70"/>
      <c r="G4" s="139" t="s">
        <v>79</v>
      </c>
      <c r="H4" s="75" t="s">
        <v>6</v>
      </c>
      <c r="I4" s="70" t="s">
        <v>80</v>
      </c>
      <c r="J4" s="80"/>
    </row>
    <row r="5" spans="1:76">
      <c r="A5" s="69"/>
      <c r="B5" s="70"/>
      <c r="C5" s="70"/>
      <c r="D5" s="70"/>
      <c r="E5" s="70"/>
      <c r="F5" s="70"/>
      <c r="G5" s="139"/>
      <c r="H5" s="70"/>
      <c r="I5" s="70"/>
      <c r="J5" s="80"/>
    </row>
    <row r="6" spans="1:76">
      <c r="A6" s="71" t="s">
        <v>7</v>
      </c>
      <c r="B6" s="70"/>
      <c r="C6" s="75" t="s">
        <v>79</v>
      </c>
      <c r="D6" s="70"/>
      <c r="E6" s="70" t="s">
        <v>10</v>
      </c>
      <c r="F6" s="70"/>
      <c r="G6" s="139" t="s">
        <v>79</v>
      </c>
      <c r="H6" s="75" t="s">
        <v>8</v>
      </c>
      <c r="I6" s="139" t="s">
        <v>80</v>
      </c>
      <c r="J6" s="141"/>
    </row>
    <row r="7" spans="1:76">
      <c r="A7" s="69"/>
      <c r="B7" s="70"/>
      <c r="C7" s="70"/>
      <c r="D7" s="70"/>
      <c r="E7" s="70"/>
      <c r="F7" s="70"/>
      <c r="G7" s="139"/>
      <c r="H7" s="70"/>
      <c r="I7" s="139"/>
      <c r="J7" s="141"/>
    </row>
    <row r="8" spans="1:76">
      <c r="A8" s="71" t="s">
        <v>12</v>
      </c>
      <c r="B8" s="70"/>
      <c r="C8" s="75" t="s">
        <v>79</v>
      </c>
      <c r="D8" s="70"/>
      <c r="E8" s="70" t="s">
        <v>82</v>
      </c>
      <c r="F8" s="70"/>
      <c r="G8" s="139"/>
      <c r="H8" s="75" t="s">
        <v>13</v>
      </c>
      <c r="I8" s="139" t="s">
        <v>80</v>
      </c>
      <c r="J8" s="141"/>
    </row>
    <row r="9" spans="1:76">
      <c r="A9" s="136"/>
      <c r="B9" s="137"/>
      <c r="C9" s="137"/>
      <c r="D9" s="137"/>
      <c r="E9" s="137"/>
      <c r="F9" s="137"/>
      <c r="G9" s="140"/>
      <c r="H9" s="137"/>
      <c r="I9" s="142"/>
      <c r="J9" s="143"/>
    </row>
    <row r="10" spans="1:76">
      <c r="A10" s="29" t="s">
        <v>83</v>
      </c>
      <c r="B10" s="30" t="s">
        <v>84</v>
      </c>
      <c r="C10" s="144" t="s">
        <v>85</v>
      </c>
      <c r="D10" s="145"/>
      <c r="E10" s="30" t="s">
        <v>86</v>
      </c>
      <c r="F10" s="31" t="s">
        <v>87</v>
      </c>
      <c r="G10" s="32" t="s">
        <v>88</v>
      </c>
      <c r="H10" s="33" t="s">
        <v>89</v>
      </c>
      <c r="J10" s="34"/>
      <c r="BK10" s="35" t="s">
        <v>90</v>
      </c>
      <c r="BL10" s="36" t="s">
        <v>91</v>
      </c>
      <c r="BW10" s="36" t="s">
        <v>92</v>
      </c>
    </row>
    <row r="11" spans="1:76">
      <c r="A11" s="37" t="s">
        <v>79</v>
      </c>
      <c r="B11" s="38" t="s">
        <v>79</v>
      </c>
      <c r="C11" s="146" t="s">
        <v>93</v>
      </c>
      <c r="D11" s="147"/>
      <c r="E11" s="38" t="s">
        <v>79</v>
      </c>
      <c r="F11" s="38" t="s">
        <v>79</v>
      </c>
      <c r="G11" s="39" t="s">
        <v>94</v>
      </c>
      <c r="H11" s="40" t="s">
        <v>95</v>
      </c>
      <c r="J11" s="41"/>
      <c r="Z11" s="35" t="s">
        <v>96</v>
      </c>
      <c r="AA11" s="35" t="s">
        <v>97</v>
      </c>
      <c r="AB11" s="35" t="s">
        <v>98</v>
      </c>
      <c r="AC11" s="35" t="s">
        <v>99</v>
      </c>
      <c r="AD11" s="35" t="s">
        <v>100</v>
      </c>
      <c r="AE11" s="35" t="s">
        <v>101</v>
      </c>
      <c r="AF11" s="35" t="s">
        <v>102</v>
      </c>
      <c r="AG11" s="35" t="s">
        <v>103</v>
      </c>
      <c r="AH11" s="35" t="s">
        <v>104</v>
      </c>
      <c r="BH11" s="35" t="s">
        <v>105</v>
      </c>
      <c r="BI11" s="35" t="s">
        <v>106</v>
      </c>
      <c r="BJ11" s="35" t="s">
        <v>107</v>
      </c>
    </row>
    <row r="12" spans="1:76">
      <c r="A12" s="42" t="s">
        <v>4</v>
      </c>
      <c r="B12" s="43" t="s">
        <v>4</v>
      </c>
      <c r="C12" s="148" t="s">
        <v>108</v>
      </c>
      <c r="D12" s="149"/>
      <c r="E12" s="44" t="s">
        <v>79</v>
      </c>
      <c r="F12" s="44" t="s">
        <v>79</v>
      </c>
      <c r="G12" s="45" t="s">
        <v>79</v>
      </c>
      <c r="H12" s="46">
        <f>H13+H26+H71+H77+H86+H130+H132+H144+H159+H171+H201+H204+H219+H230+H246+H250+H262+H265+H269+H276+H278</f>
        <v>0</v>
      </c>
      <c r="J12" s="41"/>
    </row>
    <row r="13" spans="1:76">
      <c r="A13" s="47" t="s">
        <v>4</v>
      </c>
      <c r="B13" s="48" t="s">
        <v>109</v>
      </c>
      <c r="C13" s="150" t="s">
        <v>110</v>
      </c>
      <c r="D13" s="151"/>
      <c r="E13" s="49" t="s">
        <v>79</v>
      </c>
      <c r="F13" s="49" t="s">
        <v>79</v>
      </c>
      <c r="G13" s="50" t="s">
        <v>79</v>
      </c>
      <c r="H13" s="28">
        <f>SUM(H14:H24)</f>
        <v>0</v>
      </c>
      <c r="J13" s="41"/>
      <c r="AI13" s="35" t="s">
        <v>4</v>
      </c>
      <c r="AS13" s="28">
        <f>SUM(AJ14:AJ24)</f>
        <v>0</v>
      </c>
      <c r="AT13" s="28">
        <f>SUM(AK14:AK24)</f>
        <v>0</v>
      </c>
      <c r="AU13" s="28">
        <f>SUM(AL14:AL24)</f>
        <v>0</v>
      </c>
    </row>
    <row r="14" spans="1:76">
      <c r="A14" s="1" t="s">
        <v>111</v>
      </c>
      <c r="B14" s="2" t="s">
        <v>112</v>
      </c>
      <c r="C14" s="75" t="s">
        <v>113</v>
      </c>
      <c r="D14" s="70"/>
      <c r="E14" s="2" t="s">
        <v>114</v>
      </c>
      <c r="F14" s="51">
        <v>2</v>
      </c>
      <c r="G14" s="52">
        <v>0</v>
      </c>
      <c r="H14" s="51">
        <f>ROUND(F14*G14,2)</f>
        <v>0</v>
      </c>
      <c r="J14" s="41"/>
      <c r="Z14" s="51">
        <f>ROUND(IF(AQ14="5",BJ14,0),2)</f>
        <v>0</v>
      </c>
      <c r="AB14" s="51">
        <f>ROUND(IF(AQ14="1",BH14,0),2)</f>
        <v>0</v>
      </c>
      <c r="AC14" s="51">
        <f>ROUND(IF(AQ14="1",BI14,0),2)</f>
        <v>0</v>
      </c>
      <c r="AD14" s="51">
        <f>ROUND(IF(AQ14="7",BH14,0),2)</f>
        <v>0</v>
      </c>
      <c r="AE14" s="51">
        <f>ROUND(IF(AQ14="7",BI14,0),2)</f>
        <v>0</v>
      </c>
      <c r="AF14" s="51">
        <f>ROUND(IF(AQ14="2",BH14,0),2)</f>
        <v>0</v>
      </c>
      <c r="AG14" s="51">
        <f>ROUND(IF(AQ14="2",BI14,0),2)</f>
        <v>0</v>
      </c>
      <c r="AH14" s="51">
        <f>ROUND(IF(AQ14="0",BJ14,0),2)</f>
        <v>0</v>
      </c>
      <c r="AI14" s="35" t="s">
        <v>4</v>
      </c>
      <c r="AJ14" s="51">
        <f>IF(AN14=0,H14,0)</f>
        <v>0</v>
      </c>
      <c r="AK14" s="51">
        <f>IF(AN14=12,H14,0)</f>
        <v>0</v>
      </c>
      <c r="AL14" s="51">
        <f>IF(AN14=21,H14,0)</f>
        <v>0</v>
      </c>
      <c r="AN14" s="51">
        <v>12</v>
      </c>
      <c r="AO14" s="51">
        <f>G14*0.414573643</f>
        <v>0</v>
      </c>
      <c r="AP14" s="51">
        <f>G14*(1-0.414573643)</f>
        <v>0</v>
      </c>
      <c r="AQ14" s="53" t="s">
        <v>111</v>
      </c>
      <c r="AV14" s="51">
        <f>ROUND(AW14+AX14,2)</f>
        <v>0</v>
      </c>
      <c r="AW14" s="51">
        <f>ROUND(F14*AO14,2)</f>
        <v>0</v>
      </c>
      <c r="AX14" s="51">
        <f>ROUND(F14*AP14,2)</f>
        <v>0</v>
      </c>
      <c r="AY14" s="53" t="s">
        <v>115</v>
      </c>
      <c r="AZ14" s="53" t="s">
        <v>116</v>
      </c>
      <c r="BA14" s="35" t="s">
        <v>117</v>
      </c>
      <c r="BC14" s="51">
        <f>AW14+AX14</f>
        <v>0</v>
      </c>
      <c r="BD14" s="51">
        <f>G14/(100-BE14)*100</f>
        <v>0</v>
      </c>
      <c r="BE14" s="51">
        <v>0</v>
      </c>
      <c r="BF14" s="51">
        <f>14</f>
        <v>14</v>
      </c>
      <c r="BH14" s="51">
        <f>F14*AO14</f>
        <v>0</v>
      </c>
      <c r="BI14" s="51">
        <f>F14*AP14</f>
        <v>0</v>
      </c>
      <c r="BJ14" s="51">
        <f>F14*G14</f>
        <v>0</v>
      </c>
      <c r="BK14" s="53" t="s">
        <v>118</v>
      </c>
      <c r="BL14" s="51">
        <v>34</v>
      </c>
      <c r="BW14" s="51">
        <v>12</v>
      </c>
      <c r="BX14" s="3" t="s">
        <v>113</v>
      </c>
    </row>
    <row r="15" spans="1:76" ht="13.5" customHeight="1">
      <c r="A15" s="54"/>
      <c r="B15" s="55" t="s">
        <v>119</v>
      </c>
      <c r="C15" s="152" t="s">
        <v>120</v>
      </c>
      <c r="D15" s="153"/>
      <c r="E15" s="153"/>
      <c r="F15" s="153"/>
      <c r="G15" s="154"/>
      <c r="H15" s="153"/>
      <c r="I15" s="153"/>
      <c r="J15" s="155"/>
    </row>
    <row r="16" spans="1:76">
      <c r="A16" s="54"/>
      <c r="C16" s="56" t="s">
        <v>121</v>
      </c>
      <c r="D16" s="57" t="s">
        <v>122</v>
      </c>
      <c r="F16" s="58">
        <v>2</v>
      </c>
      <c r="J16" s="41"/>
    </row>
    <row r="17" spans="1:76">
      <c r="A17" s="1" t="s">
        <v>121</v>
      </c>
      <c r="B17" s="2" t="s">
        <v>123</v>
      </c>
      <c r="C17" s="75" t="s">
        <v>124</v>
      </c>
      <c r="D17" s="70"/>
      <c r="E17" s="2" t="s">
        <v>125</v>
      </c>
      <c r="F17" s="51">
        <v>12.387</v>
      </c>
      <c r="G17" s="52">
        <v>0</v>
      </c>
      <c r="H17" s="51">
        <f>ROUND(F17*G17,2)</f>
        <v>0</v>
      </c>
      <c r="J17" s="41"/>
      <c r="Z17" s="51">
        <f>ROUND(IF(AQ17="5",BJ17,0),2)</f>
        <v>0</v>
      </c>
      <c r="AB17" s="51">
        <f>ROUND(IF(AQ17="1",BH17,0),2)</f>
        <v>0</v>
      </c>
      <c r="AC17" s="51">
        <f>ROUND(IF(AQ17="1",BI17,0),2)</f>
        <v>0</v>
      </c>
      <c r="AD17" s="51">
        <f>ROUND(IF(AQ17="7",BH17,0),2)</f>
        <v>0</v>
      </c>
      <c r="AE17" s="51">
        <f>ROUND(IF(AQ17="7",BI17,0),2)</f>
        <v>0</v>
      </c>
      <c r="AF17" s="51">
        <f>ROUND(IF(AQ17="2",BH17,0),2)</f>
        <v>0</v>
      </c>
      <c r="AG17" s="51">
        <f>ROUND(IF(AQ17="2",BI17,0),2)</f>
        <v>0</v>
      </c>
      <c r="AH17" s="51">
        <f>ROUND(IF(AQ17="0",BJ17,0),2)</f>
        <v>0</v>
      </c>
      <c r="AI17" s="35" t="s">
        <v>4</v>
      </c>
      <c r="AJ17" s="51">
        <f>IF(AN17=0,H17,0)</f>
        <v>0</v>
      </c>
      <c r="AK17" s="51">
        <f>IF(AN17=12,H17,0)</f>
        <v>0</v>
      </c>
      <c r="AL17" s="51">
        <f>IF(AN17=21,H17,0)</f>
        <v>0</v>
      </c>
      <c r="AN17" s="51">
        <v>12</v>
      </c>
      <c r="AO17" s="51">
        <f>G17*0.603356352</f>
        <v>0</v>
      </c>
      <c r="AP17" s="51">
        <f>G17*(1-0.603356352)</f>
        <v>0</v>
      </c>
      <c r="AQ17" s="53" t="s">
        <v>111</v>
      </c>
      <c r="AV17" s="51">
        <f>ROUND(AW17+AX17,2)</f>
        <v>0</v>
      </c>
      <c r="AW17" s="51">
        <f>ROUND(F17*AO17,2)</f>
        <v>0</v>
      </c>
      <c r="AX17" s="51">
        <f>ROUND(F17*AP17,2)</f>
        <v>0</v>
      </c>
      <c r="AY17" s="53" t="s">
        <v>115</v>
      </c>
      <c r="AZ17" s="53" t="s">
        <v>116</v>
      </c>
      <c r="BA17" s="35" t="s">
        <v>117</v>
      </c>
      <c r="BC17" s="51">
        <f>AW17+AX17</f>
        <v>0</v>
      </c>
      <c r="BD17" s="51">
        <f>G17/(100-BE17)*100</f>
        <v>0</v>
      </c>
      <c r="BE17" s="51">
        <v>0</v>
      </c>
      <c r="BF17" s="51">
        <f>17</f>
        <v>17</v>
      </c>
      <c r="BH17" s="51">
        <f>F17*AO17</f>
        <v>0</v>
      </c>
      <c r="BI17" s="51">
        <f>F17*AP17</f>
        <v>0</v>
      </c>
      <c r="BJ17" s="51">
        <f>F17*G17</f>
        <v>0</v>
      </c>
      <c r="BK17" s="53" t="s">
        <v>118</v>
      </c>
      <c r="BL17" s="51">
        <v>34</v>
      </c>
      <c r="BW17" s="51">
        <v>12</v>
      </c>
      <c r="BX17" s="3" t="s">
        <v>124</v>
      </c>
    </row>
    <row r="18" spans="1:76">
      <c r="A18" s="54"/>
      <c r="C18" s="56" t="s">
        <v>126</v>
      </c>
      <c r="D18" s="57" t="s">
        <v>4</v>
      </c>
      <c r="F18" s="58">
        <v>15.587</v>
      </c>
      <c r="J18" s="41"/>
    </row>
    <row r="19" spans="1:76">
      <c r="A19" s="54"/>
      <c r="C19" s="56" t="s">
        <v>127</v>
      </c>
      <c r="D19" s="57" t="s">
        <v>4</v>
      </c>
      <c r="F19" s="58">
        <v>-3.2</v>
      </c>
      <c r="J19" s="41"/>
    </row>
    <row r="20" spans="1:76">
      <c r="A20" s="1" t="s">
        <v>128</v>
      </c>
      <c r="B20" s="2" t="s">
        <v>129</v>
      </c>
      <c r="C20" s="75" t="s">
        <v>130</v>
      </c>
      <c r="D20" s="70"/>
      <c r="E20" s="2" t="s">
        <v>114</v>
      </c>
      <c r="F20" s="51">
        <v>2</v>
      </c>
      <c r="G20" s="52">
        <v>0</v>
      </c>
      <c r="H20" s="51">
        <f>ROUND(F20*G20,2)</f>
        <v>0</v>
      </c>
      <c r="J20" s="41"/>
      <c r="Z20" s="51">
        <f>ROUND(IF(AQ20="5",BJ20,0),2)</f>
        <v>0</v>
      </c>
      <c r="AB20" s="51">
        <f>ROUND(IF(AQ20="1",BH20,0),2)</f>
        <v>0</v>
      </c>
      <c r="AC20" s="51">
        <f>ROUND(IF(AQ20="1",BI20,0),2)</f>
        <v>0</v>
      </c>
      <c r="AD20" s="51">
        <f>ROUND(IF(AQ20="7",BH20,0),2)</f>
        <v>0</v>
      </c>
      <c r="AE20" s="51">
        <f>ROUND(IF(AQ20="7",BI20,0),2)</f>
        <v>0</v>
      </c>
      <c r="AF20" s="51">
        <f>ROUND(IF(AQ20="2",BH20,0),2)</f>
        <v>0</v>
      </c>
      <c r="AG20" s="51">
        <f>ROUND(IF(AQ20="2",BI20,0),2)</f>
        <v>0</v>
      </c>
      <c r="AH20" s="51">
        <f>ROUND(IF(AQ20="0",BJ20,0),2)</f>
        <v>0</v>
      </c>
      <c r="AI20" s="35" t="s">
        <v>4</v>
      </c>
      <c r="AJ20" s="51">
        <f>IF(AN20=0,H20,0)</f>
        <v>0</v>
      </c>
      <c r="AK20" s="51">
        <f>IF(AN20=12,H20,0)</f>
        <v>0</v>
      </c>
      <c r="AL20" s="51">
        <f>IF(AN20=21,H20,0)</f>
        <v>0</v>
      </c>
      <c r="AN20" s="51">
        <v>12</v>
      </c>
      <c r="AO20" s="51">
        <f>G20*0.8382846</f>
        <v>0</v>
      </c>
      <c r="AP20" s="51">
        <f>G20*(1-0.8382846)</f>
        <v>0</v>
      </c>
      <c r="AQ20" s="53" t="s">
        <v>111</v>
      </c>
      <c r="AV20" s="51">
        <f>ROUND(AW20+AX20,2)</f>
        <v>0</v>
      </c>
      <c r="AW20" s="51">
        <f>ROUND(F20*AO20,2)</f>
        <v>0</v>
      </c>
      <c r="AX20" s="51">
        <f>ROUND(F20*AP20,2)</f>
        <v>0</v>
      </c>
      <c r="AY20" s="53" t="s">
        <v>115</v>
      </c>
      <c r="AZ20" s="53" t="s">
        <v>116</v>
      </c>
      <c r="BA20" s="35" t="s">
        <v>117</v>
      </c>
      <c r="BC20" s="51">
        <f>AW20+AX20</f>
        <v>0</v>
      </c>
      <c r="BD20" s="51">
        <f>G20/(100-BE20)*100</f>
        <v>0</v>
      </c>
      <c r="BE20" s="51">
        <v>0</v>
      </c>
      <c r="BF20" s="51">
        <f>20</f>
        <v>20</v>
      </c>
      <c r="BH20" s="51">
        <f>F20*AO20</f>
        <v>0</v>
      </c>
      <c r="BI20" s="51">
        <f>F20*AP20</f>
        <v>0</v>
      </c>
      <c r="BJ20" s="51">
        <f>F20*G20</f>
        <v>0</v>
      </c>
      <c r="BK20" s="53" t="s">
        <v>118</v>
      </c>
      <c r="BL20" s="51">
        <v>34</v>
      </c>
      <c r="BW20" s="51">
        <v>12</v>
      </c>
      <c r="BX20" s="3" t="s">
        <v>130</v>
      </c>
    </row>
    <row r="21" spans="1:76" ht="13.5" customHeight="1">
      <c r="A21" s="54"/>
      <c r="B21" s="55" t="s">
        <v>119</v>
      </c>
      <c r="C21" s="152" t="s">
        <v>131</v>
      </c>
      <c r="D21" s="153"/>
      <c r="E21" s="153"/>
      <c r="F21" s="153"/>
      <c r="G21" s="154"/>
      <c r="H21" s="153"/>
      <c r="I21" s="153"/>
      <c r="J21" s="155"/>
    </row>
    <row r="22" spans="1:76">
      <c r="A22" s="1" t="s">
        <v>132</v>
      </c>
      <c r="B22" s="2" t="s">
        <v>133</v>
      </c>
      <c r="C22" s="75" t="s">
        <v>134</v>
      </c>
      <c r="D22" s="70"/>
      <c r="E22" s="2" t="s">
        <v>135</v>
      </c>
      <c r="F22" s="51">
        <v>7.8</v>
      </c>
      <c r="G22" s="52">
        <v>0</v>
      </c>
      <c r="H22" s="51">
        <f>ROUND(F22*G22,2)</f>
        <v>0</v>
      </c>
      <c r="J22" s="41"/>
      <c r="Z22" s="51">
        <f>ROUND(IF(AQ22="5",BJ22,0),2)</f>
        <v>0</v>
      </c>
      <c r="AB22" s="51">
        <f>ROUND(IF(AQ22="1",BH22,0),2)</f>
        <v>0</v>
      </c>
      <c r="AC22" s="51">
        <f>ROUND(IF(AQ22="1",BI22,0),2)</f>
        <v>0</v>
      </c>
      <c r="AD22" s="51">
        <f>ROUND(IF(AQ22="7",BH22,0),2)</f>
        <v>0</v>
      </c>
      <c r="AE22" s="51">
        <f>ROUND(IF(AQ22="7",BI22,0),2)</f>
        <v>0</v>
      </c>
      <c r="AF22" s="51">
        <f>ROUND(IF(AQ22="2",BH22,0),2)</f>
        <v>0</v>
      </c>
      <c r="AG22" s="51">
        <f>ROUND(IF(AQ22="2",BI22,0),2)</f>
        <v>0</v>
      </c>
      <c r="AH22" s="51">
        <f>ROUND(IF(AQ22="0",BJ22,0),2)</f>
        <v>0</v>
      </c>
      <c r="AI22" s="35" t="s">
        <v>4</v>
      </c>
      <c r="AJ22" s="51">
        <f>IF(AN22=0,H22,0)</f>
        <v>0</v>
      </c>
      <c r="AK22" s="51">
        <f>IF(AN22=12,H22,0)</f>
        <v>0</v>
      </c>
      <c r="AL22" s="51">
        <f>IF(AN22=21,H22,0)</f>
        <v>0</v>
      </c>
      <c r="AN22" s="51">
        <v>12</v>
      </c>
      <c r="AO22" s="51">
        <f>G22*0.177743314</f>
        <v>0</v>
      </c>
      <c r="AP22" s="51">
        <f>G22*(1-0.177743314)</f>
        <v>0</v>
      </c>
      <c r="AQ22" s="53" t="s">
        <v>111</v>
      </c>
      <c r="AV22" s="51">
        <f>ROUND(AW22+AX22,2)</f>
        <v>0</v>
      </c>
      <c r="AW22" s="51">
        <f>ROUND(F22*AO22,2)</f>
        <v>0</v>
      </c>
      <c r="AX22" s="51">
        <f>ROUND(F22*AP22,2)</f>
        <v>0</v>
      </c>
      <c r="AY22" s="53" t="s">
        <v>115</v>
      </c>
      <c r="AZ22" s="53" t="s">
        <v>116</v>
      </c>
      <c r="BA22" s="35" t="s">
        <v>117</v>
      </c>
      <c r="BC22" s="51">
        <f>AW22+AX22</f>
        <v>0</v>
      </c>
      <c r="BD22" s="51">
        <f>G22/(100-BE22)*100</f>
        <v>0</v>
      </c>
      <c r="BE22" s="51">
        <v>0</v>
      </c>
      <c r="BF22" s="51">
        <f>22</f>
        <v>22</v>
      </c>
      <c r="BH22" s="51">
        <f>F22*AO22</f>
        <v>0</v>
      </c>
      <c r="BI22" s="51">
        <f>F22*AP22</f>
        <v>0</v>
      </c>
      <c r="BJ22" s="51">
        <f>F22*G22</f>
        <v>0</v>
      </c>
      <c r="BK22" s="53" t="s">
        <v>118</v>
      </c>
      <c r="BL22" s="51">
        <v>34</v>
      </c>
      <c r="BW22" s="51">
        <v>12</v>
      </c>
      <c r="BX22" s="3" t="s">
        <v>134</v>
      </c>
    </row>
    <row r="23" spans="1:76">
      <c r="A23" s="54"/>
      <c r="C23" s="56" t="s">
        <v>136</v>
      </c>
      <c r="D23" s="57" t="s">
        <v>137</v>
      </c>
      <c r="F23" s="58">
        <v>7.8</v>
      </c>
      <c r="J23" s="41"/>
    </row>
    <row r="24" spans="1:76">
      <c r="A24" s="1" t="s">
        <v>138</v>
      </c>
      <c r="B24" s="2" t="s">
        <v>139</v>
      </c>
      <c r="C24" s="75" t="s">
        <v>140</v>
      </c>
      <c r="D24" s="70"/>
      <c r="E24" s="2" t="s">
        <v>135</v>
      </c>
      <c r="F24" s="51">
        <v>5.9950000000000001</v>
      </c>
      <c r="G24" s="52">
        <v>0</v>
      </c>
      <c r="H24" s="51">
        <f>ROUND(F24*G24,2)</f>
        <v>0</v>
      </c>
      <c r="J24" s="41"/>
      <c r="Z24" s="51">
        <f>ROUND(IF(AQ24="5",BJ24,0),2)</f>
        <v>0</v>
      </c>
      <c r="AB24" s="51">
        <f>ROUND(IF(AQ24="1",BH24,0),2)</f>
        <v>0</v>
      </c>
      <c r="AC24" s="51">
        <f>ROUND(IF(AQ24="1",BI24,0),2)</f>
        <v>0</v>
      </c>
      <c r="AD24" s="51">
        <f>ROUND(IF(AQ24="7",BH24,0),2)</f>
        <v>0</v>
      </c>
      <c r="AE24" s="51">
        <f>ROUND(IF(AQ24="7",BI24,0),2)</f>
        <v>0</v>
      </c>
      <c r="AF24" s="51">
        <f>ROUND(IF(AQ24="2",BH24,0),2)</f>
        <v>0</v>
      </c>
      <c r="AG24" s="51">
        <f>ROUND(IF(AQ24="2",BI24,0),2)</f>
        <v>0</v>
      </c>
      <c r="AH24" s="51">
        <f>ROUND(IF(AQ24="0",BJ24,0),2)</f>
        <v>0</v>
      </c>
      <c r="AI24" s="35" t="s">
        <v>4</v>
      </c>
      <c r="AJ24" s="51">
        <f>IF(AN24=0,H24,0)</f>
        <v>0</v>
      </c>
      <c r="AK24" s="51">
        <f>IF(AN24=12,H24,0)</f>
        <v>0</v>
      </c>
      <c r="AL24" s="51">
        <f>IF(AN24=21,H24,0)</f>
        <v>0</v>
      </c>
      <c r="AN24" s="51">
        <v>12</v>
      </c>
      <c r="AO24" s="51">
        <f>G24*0.154949901</f>
        <v>0</v>
      </c>
      <c r="AP24" s="51">
        <f>G24*(1-0.154949901)</f>
        <v>0</v>
      </c>
      <c r="AQ24" s="53" t="s">
        <v>111</v>
      </c>
      <c r="AV24" s="51">
        <f>ROUND(AW24+AX24,2)</f>
        <v>0</v>
      </c>
      <c r="AW24" s="51">
        <f>ROUND(F24*AO24,2)</f>
        <v>0</v>
      </c>
      <c r="AX24" s="51">
        <f>ROUND(F24*AP24,2)</f>
        <v>0</v>
      </c>
      <c r="AY24" s="53" t="s">
        <v>115</v>
      </c>
      <c r="AZ24" s="53" t="s">
        <v>116</v>
      </c>
      <c r="BA24" s="35" t="s">
        <v>117</v>
      </c>
      <c r="BC24" s="51">
        <f>AW24+AX24</f>
        <v>0</v>
      </c>
      <c r="BD24" s="51">
        <f>G24/(100-BE24)*100</f>
        <v>0</v>
      </c>
      <c r="BE24" s="51">
        <v>0</v>
      </c>
      <c r="BF24" s="51">
        <f>24</f>
        <v>24</v>
      </c>
      <c r="BH24" s="51">
        <f>F24*AO24</f>
        <v>0</v>
      </c>
      <c r="BI24" s="51">
        <f>F24*AP24</f>
        <v>0</v>
      </c>
      <c r="BJ24" s="51">
        <f>F24*G24</f>
        <v>0</v>
      </c>
      <c r="BK24" s="53" t="s">
        <v>118</v>
      </c>
      <c r="BL24" s="51">
        <v>34</v>
      </c>
      <c r="BW24" s="51">
        <v>12</v>
      </c>
      <c r="BX24" s="3" t="s">
        <v>140</v>
      </c>
    </row>
    <row r="25" spans="1:76">
      <c r="A25" s="54"/>
      <c r="C25" s="56" t="s">
        <v>141</v>
      </c>
      <c r="D25" s="57" t="s">
        <v>4</v>
      </c>
      <c r="F25" s="58">
        <v>5.9950000000000001</v>
      </c>
      <c r="J25" s="41"/>
    </row>
    <row r="26" spans="1:76">
      <c r="A26" s="47" t="s">
        <v>4</v>
      </c>
      <c r="B26" s="48" t="s">
        <v>142</v>
      </c>
      <c r="C26" s="150" t="s">
        <v>143</v>
      </c>
      <c r="D26" s="151"/>
      <c r="E26" s="49" t="s">
        <v>79</v>
      </c>
      <c r="F26" s="49" t="s">
        <v>79</v>
      </c>
      <c r="G26" s="50" t="s">
        <v>79</v>
      </c>
      <c r="H26" s="28">
        <f>SUM(H27:H68)</f>
        <v>0</v>
      </c>
      <c r="J26" s="41"/>
      <c r="AI26" s="35" t="s">
        <v>4</v>
      </c>
      <c r="AS26" s="28">
        <f>SUM(AJ27:AJ68)</f>
        <v>0</v>
      </c>
      <c r="AT26" s="28">
        <f>SUM(AK27:AK68)</f>
        <v>0</v>
      </c>
      <c r="AU26" s="28">
        <f>SUM(AL27:AL68)</f>
        <v>0</v>
      </c>
    </row>
    <row r="27" spans="1:76">
      <c r="A27" s="1" t="s">
        <v>144</v>
      </c>
      <c r="B27" s="2" t="s">
        <v>145</v>
      </c>
      <c r="C27" s="75" t="s">
        <v>146</v>
      </c>
      <c r="D27" s="70"/>
      <c r="E27" s="2" t="s">
        <v>125</v>
      </c>
      <c r="F27" s="51">
        <v>28.75</v>
      </c>
      <c r="G27" s="52">
        <v>0</v>
      </c>
      <c r="H27" s="51">
        <f>ROUND(F27*G27,2)</f>
        <v>0</v>
      </c>
      <c r="J27" s="41"/>
      <c r="Z27" s="51">
        <f>ROUND(IF(AQ27="5",BJ27,0),2)</f>
        <v>0</v>
      </c>
      <c r="AB27" s="51">
        <f>ROUND(IF(AQ27="1",BH27,0),2)</f>
        <v>0</v>
      </c>
      <c r="AC27" s="51">
        <f>ROUND(IF(AQ27="1",BI27,0),2)</f>
        <v>0</v>
      </c>
      <c r="AD27" s="51">
        <f>ROUND(IF(AQ27="7",BH27,0),2)</f>
        <v>0</v>
      </c>
      <c r="AE27" s="51">
        <f>ROUND(IF(AQ27="7",BI27,0),2)</f>
        <v>0</v>
      </c>
      <c r="AF27" s="51">
        <f>ROUND(IF(AQ27="2",BH27,0),2)</f>
        <v>0</v>
      </c>
      <c r="AG27" s="51">
        <f>ROUND(IF(AQ27="2",BI27,0),2)</f>
        <v>0</v>
      </c>
      <c r="AH27" s="51">
        <f>ROUND(IF(AQ27="0",BJ27,0),2)</f>
        <v>0</v>
      </c>
      <c r="AI27" s="35" t="s">
        <v>4</v>
      </c>
      <c r="AJ27" s="51">
        <f>IF(AN27=0,H27,0)</f>
        <v>0</v>
      </c>
      <c r="AK27" s="51">
        <f>IF(AN27=12,H27,0)</f>
        <v>0</v>
      </c>
      <c r="AL27" s="51">
        <f>IF(AN27=21,H27,0)</f>
        <v>0</v>
      </c>
      <c r="AN27" s="51">
        <v>12</v>
      </c>
      <c r="AO27" s="51">
        <f>G27*0.315286357</f>
        <v>0</v>
      </c>
      <c r="AP27" s="51">
        <f>G27*(1-0.315286357)</f>
        <v>0</v>
      </c>
      <c r="AQ27" s="53" t="s">
        <v>111</v>
      </c>
      <c r="AV27" s="51">
        <f>ROUND(AW27+AX27,2)</f>
        <v>0</v>
      </c>
      <c r="AW27" s="51">
        <f>ROUND(F27*AO27,2)</f>
        <v>0</v>
      </c>
      <c r="AX27" s="51">
        <f>ROUND(F27*AP27,2)</f>
        <v>0</v>
      </c>
      <c r="AY27" s="53" t="s">
        <v>147</v>
      </c>
      <c r="AZ27" s="53" t="s">
        <v>148</v>
      </c>
      <c r="BA27" s="35" t="s">
        <v>117</v>
      </c>
      <c r="BC27" s="51">
        <f>AW27+AX27</f>
        <v>0</v>
      </c>
      <c r="BD27" s="51">
        <f>G27/(100-BE27)*100</f>
        <v>0</v>
      </c>
      <c r="BE27" s="51">
        <v>0</v>
      </c>
      <c r="BF27" s="51">
        <f>27</f>
        <v>27</v>
      </c>
      <c r="BH27" s="51">
        <f>F27*AO27</f>
        <v>0</v>
      </c>
      <c r="BI27" s="51">
        <f>F27*AP27</f>
        <v>0</v>
      </c>
      <c r="BJ27" s="51">
        <f>F27*G27</f>
        <v>0</v>
      </c>
      <c r="BK27" s="53" t="s">
        <v>118</v>
      </c>
      <c r="BL27" s="51">
        <v>61</v>
      </c>
      <c r="BW27" s="51">
        <v>12</v>
      </c>
      <c r="BX27" s="3" t="s">
        <v>146</v>
      </c>
    </row>
    <row r="28" spans="1:76">
      <c r="A28" s="1" t="s">
        <v>149</v>
      </c>
      <c r="B28" s="2" t="s">
        <v>150</v>
      </c>
      <c r="C28" s="75" t="s">
        <v>151</v>
      </c>
      <c r="D28" s="70"/>
      <c r="E28" s="2" t="s">
        <v>125</v>
      </c>
      <c r="F28" s="51">
        <v>28.75</v>
      </c>
      <c r="G28" s="52">
        <v>0</v>
      </c>
      <c r="H28" s="51">
        <f>ROUND(F28*G28,2)</f>
        <v>0</v>
      </c>
      <c r="J28" s="41"/>
      <c r="Z28" s="51">
        <f>ROUND(IF(AQ28="5",BJ28,0),2)</f>
        <v>0</v>
      </c>
      <c r="AB28" s="51">
        <f>ROUND(IF(AQ28="1",BH28,0),2)</f>
        <v>0</v>
      </c>
      <c r="AC28" s="51">
        <f>ROUND(IF(AQ28="1",BI28,0),2)</f>
        <v>0</v>
      </c>
      <c r="AD28" s="51">
        <f>ROUND(IF(AQ28="7",BH28,0),2)</f>
        <v>0</v>
      </c>
      <c r="AE28" s="51">
        <f>ROUND(IF(AQ28="7",BI28,0),2)</f>
        <v>0</v>
      </c>
      <c r="AF28" s="51">
        <f>ROUND(IF(AQ28="2",BH28,0),2)</f>
        <v>0</v>
      </c>
      <c r="AG28" s="51">
        <f>ROUND(IF(AQ28="2",BI28,0),2)</f>
        <v>0</v>
      </c>
      <c r="AH28" s="51">
        <f>ROUND(IF(AQ28="0",BJ28,0),2)</f>
        <v>0</v>
      </c>
      <c r="AI28" s="35" t="s">
        <v>4</v>
      </c>
      <c r="AJ28" s="51">
        <f>IF(AN28=0,H28,0)</f>
        <v>0</v>
      </c>
      <c r="AK28" s="51">
        <f>IF(AN28=12,H28,0)</f>
        <v>0</v>
      </c>
      <c r="AL28" s="51">
        <f>IF(AN28=21,H28,0)</f>
        <v>0</v>
      </c>
      <c r="AN28" s="51">
        <v>12</v>
      </c>
      <c r="AO28" s="51">
        <f>G28*0.149354415</f>
        <v>0</v>
      </c>
      <c r="AP28" s="51">
        <f>G28*(1-0.149354415)</f>
        <v>0</v>
      </c>
      <c r="AQ28" s="53" t="s">
        <v>111</v>
      </c>
      <c r="AV28" s="51">
        <f>ROUND(AW28+AX28,2)</f>
        <v>0</v>
      </c>
      <c r="AW28" s="51">
        <f>ROUND(F28*AO28,2)</f>
        <v>0</v>
      </c>
      <c r="AX28" s="51">
        <f>ROUND(F28*AP28,2)</f>
        <v>0</v>
      </c>
      <c r="AY28" s="53" t="s">
        <v>147</v>
      </c>
      <c r="AZ28" s="53" t="s">
        <v>148</v>
      </c>
      <c r="BA28" s="35" t="s">
        <v>117</v>
      </c>
      <c r="BC28" s="51">
        <f>AW28+AX28</f>
        <v>0</v>
      </c>
      <c r="BD28" s="51">
        <f>G28/(100-BE28)*100</f>
        <v>0</v>
      </c>
      <c r="BE28" s="51">
        <v>0</v>
      </c>
      <c r="BF28" s="51">
        <f>28</f>
        <v>28</v>
      </c>
      <c r="BH28" s="51">
        <f>F28*AO28</f>
        <v>0</v>
      </c>
      <c r="BI28" s="51">
        <f>F28*AP28</f>
        <v>0</v>
      </c>
      <c r="BJ28" s="51">
        <f>F28*G28</f>
        <v>0</v>
      </c>
      <c r="BK28" s="53" t="s">
        <v>118</v>
      </c>
      <c r="BL28" s="51">
        <v>61</v>
      </c>
      <c r="BW28" s="51">
        <v>12</v>
      </c>
      <c r="BX28" s="3" t="s">
        <v>151</v>
      </c>
    </row>
    <row r="29" spans="1:76">
      <c r="A29" s="54"/>
      <c r="C29" s="56" t="s">
        <v>152</v>
      </c>
      <c r="D29" s="57" t="s">
        <v>4</v>
      </c>
      <c r="F29" s="58">
        <v>28.75</v>
      </c>
      <c r="J29" s="41"/>
    </row>
    <row r="30" spans="1:76">
      <c r="A30" s="1" t="s">
        <v>153</v>
      </c>
      <c r="B30" s="2" t="s">
        <v>154</v>
      </c>
      <c r="C30" s="75" t="s">
        <v>155</v>
      </c>
      <c r="D30" s="70"/>
      <c r="E30" s="2" t="s">
        <v>135</v>
      </c>
      <c r="F30" s="51">
        <v>12.6</v>
      </c>
      <c r="G30" s="52">
        <v>0</v>
      </c>
      <c r="H30" s="51">
        <f>ROUND(F30*G30,2)</f>
        <v>0</v>
      </c>
      <c r="J30" s="41"/>
      <c r="Z30" s="51">
        <f>ROUND(IF(AQ30="5",BJ30,0),2)</f>
        <v>0</v>
      </c>
      <c r="AB30" s="51">
        <f>ROUND(IF(AQ30="1",BH30,0),2)</f>
        <v>0</v>
      </c>
      <c r="AC30" s="51">
        <f>ROUND(IF(AQ30="1",BI30,0),2)</f>
        <v>0</v>
      </c>
      <c r="AD30" s="51">
        <f>ROUND(IF(AQ30="7",BH30,0),2)</f>
        <v>0</v>
      </c>
      <c r="AE30" s="51">
        <f>ROUND(IF(AQ30="7",BI30,0),2)</f>
        <v>0</v>
      </c>
      <c r="AF30" s="51">
        <f>ROUND(IF(AQ30="2",BH30,0),2)</f>
        <v>0</v>
      </c>
      <c r="AG30" s="51">
        <f>ROUND(IF(AQ30="2",BI30,0),2)</f>
        <v>0</v>
      </c>
      <c r="AH30" s="51">
        <f>ROUND(IF(AQ30="0",BJ30,0),2)</f>
        <v>0</v>
      </c>
      <c r="AI30" s="35" t="s">
        <v>4</v>
      </c>
      <c r="AJ30" s="51">
        <f>IF(AN30=0,H30,0)</f>
        <v>0</v>
      </c>
      <c r="AK30" s="51">
        <f>IF(AN30=12,H30,0)</f>
        <v>0</v>
      </c>
      <c r="AL30" s="51">
        <f>IF(AN30=21,H30,0)</f>
        <v>0</v>
      </c>
      <c r="AN30" s="51">
        <v>12</v>
      </c>
      <c r="AO30" s="51">
        <f>G30*0.126032674</f>
        <v>0</v>
      </c>
      <c r="AP30" s="51">
        <f>G30*(1-0.126032674)</f>
        <v>0</v>
      </c>
      <c r="AQ30" s="53" t="s">
        <v>111</v>
      </c>
      <c r="AV30" s="51">
        <f>ROUND(AW30+AX30,2)</f>
        <v>0</v>
      </c>
      <c r="AW30" s="51">
        <f>ROUND(F30*AO30,2)</f>
        <v>0</v>
      </c>
      <c r="AX30" s="51">
        <f>ROUND(F30*AP30,2)</f>
        <v>0</v>
      </c>
      <c r="AY30" s="53" t="s">
        <v>147</v>
      </c>
      <c r="AZ30" s="53" t="s">
        <v>148</v>
      </c>
      <c r="BA30" s="35" t="s">
        <v>117</v>
      </c>
      <c r="BC30" s="51">
        <f>AW30+AX30</f>
        <v>0</v>
      </c>
      <c r="BD30" s="51">
        <f>G30/(100-BE30)*100</f>
        <v>0</v>
      </c>
      <c r="BE30" s="51">
        <v>0</v>
      </c>
      <c r="BF30" s="51">
        <f>30</f>
        <v>30</v>
      </c>
      <c r="BH30" s="51">
        <f>F30*AO30</f>
        <v>0</v>
      </c>
      <c r="BI30" s="51">
        <f>F30*AP30</f>
        <v>0</v>
      </c>
      <c r="BJ30" s="51">
        <f>F30*G30</f>
        <v>0</v>
      </c>
      <c r="BK30" s="53" t="s">
        <v>118</v>
      </c>
      <c r="BL30" s="51">
        <v>61</v>
      </c>
      <c r="BW30" s="51">
        <v>12</v>
      </c>
      <c r="BX30" s="3" t="s">
        <v>155</v>
      </c>
    </row>
    <row r="31" spans="1:76">
      <c r="A31" s="54"/>
      <c r="C31" s="56" t="s">
        <v>156</v>
      </c>
      <c r="D31" s="57" t="s">
        <v>4</v>
      </c>
      <c r="F31" s="58">
        <v>12.6</v>
      </c>
      <c r="J31" s="41"/>
    </row>
    <row r="32" spans="1:76">
      <c r="A32" s="1" t="s">
        <v>157</v>
      </c>
      <c r="B32" s="2" t="s">
        <v>158</v>
      </c>
      <c r="C32" s="75" t="s">
        <v>159</v>
      </c>
      <c r="D32" s="70"/>
      <c r="E32" s="2" t="s">
        <v>125</v>
      </c>
      <c r="F32" s="51">
        <v>13.994999999999999</v>
      </c>
      <c r="G32" s="52">
        <v>0</v>
      </c>
      <c r="H32" s="51">
        <f>ROUND(F32*G32,2)</f>
        <v>0</v>
      </c>
      <c r="J32" s="41"/>
      <c r="Z32" s="51">
        <f>ROUND(IF(AQ32="5",BJ32,0),2)</f>
        <v>0</v>
      </c>
      <c r="AB32" s="51">
        <f>ROUND(IF(AQ32="1",BH32,0),2)</f>
        <v>0</v>
      </c>
      <c r="AC32" s="51">
        <f>ROUND(IF(AQ32="1",BI32,0),2)</f>
        <v>0</v>
      </c>
      <c r="AD32" s="51">
        <f>ROUND(IF(AQ32="7",BH32,0),2)</f>
        <v>0</v>
      </c>
      <c r="AE32" s="51">
        <f>ROUND(IF(AQ32="7",BI32,0),2)</f>
        <v>0</v>
      </c>
      <c r="AF32" s="51">
        <f>ROUND(IF(AQ32="2",BH32,0),2)</f>
        <v>0</v>
      </c>
      <c r="AG32" s="51">
        <f>ROUND(IF(AQ32="2",BI32,0),2)</f>
        <v>0</v>
      </c>
      <c r="AH32" s="51">
        <f>ROUND(IF(AQ32="0",BJ32,0),2)</f>
        <v>0</v>
      </c>
      <c r="AI32" s="35" t="s">
        <v>4</v>
      </c>
      <c r="AJ32" s="51">
        <f>IF(AN32=0,H32,0)</f>
        <v>0</v>
      </c>
      <c r="AK32" s="51">
        <f>IF(AN32=12,H32,0)</f>
        <v>0</v>
      </c>
      <c r="AL32" s="51">
        <f>IF(AN32=21,H32,0)</f>
        <v>0</v>
      </c>
      <c r="AN32" s="51">
        <v>12</v>
      </c>
      <c r="AO32" s="51">
        <f>G32*0.144447625</f>
        <v>0</v>
      </c>
      <c r="AP32" s="51">
        <f>G32*(1-0.144447625)</f>
        <v>0</v>
      </c>
      <c r="AQ32" s="53" t="s">
        <v>111</v>
      </c>
      <c r="AV32" s="51">
        <f>ROUND(AW32+AX32,2)</f>
        <v>0</v>
      </c>
      <c r="AW32" s="51">
        <f>ROUND(F32*AO32,2)</f>
        <v>0</v>
      </c>
      <c r="AX32" s="51">
        <f>ROUND(F32*AP32,2)</f>
        <v>0</v>
      </c>
      <c r="AY32" s="53" t="s">
        <v>147</v>
      </c>
      <c r="AZ32" s="53" t="s">
        <v>148</v>
      </c>
      <c r="BA32" s="35" t="s">
        <v>117</v>
      </c>
      <c r="BC32" s="51">
        <f>AW32+AX32</f>
        <v>0</v>
      </c>
      <c r="BD32" s="51">
        <f>G32/(100-BE32)*100</f>
        <v>0</v>
      </c>
      <c r="BE32" s="51">
        <v>0</v>
      </c>
      <c r="BF32" s="51">
        <f>32</f>
        <v>32</v>
      </c>
      <c r="BH32" s="51">
        <f>F32*AO32</f>
        <v>0</v>
      </c>
      <c r="BI32" s="51">
        <f>F32*AP32</f>
        <v>0</v>
      </c>
      <c r="BJ32" s="51">
        <f>F32*G32</f>
        <v>0</v>
      </c>
      <c r="BK32" s="53" t="s">
        <v>118</v>
      </c>
      <c r="BL32" s="51">
        <v>61</v>
      </c>
      <c r="BW32" s="51">
        <v>12</v>
      </c>
      <c r="BX32" s="3" t="s">
        <v>159</v>
      </c>
    </row>
    <row r="33" spans="1:76">
      <c r="A33" s="54"/>
      <c r="C33" s="56" t="s">
        <v>160</v>
      </c>
      <c r="D33" s="57" t="s">
        <v>161</v>
      </c>
      <c r="F33" s="58">
        <v>11.21</v>
      </c>
      <c r="J33" s="41"/>
    </row>
    <row r="34" spans="1:76">
      <c r="A34" s="54"/>
      <c r="C34" s="56" t="s">
        <v>162</v>
      </c>
      <c r="D34" s="57" t="s">
        <v>163</v>
      </c>
      <c r="F34" s="58">
        <v>2.2050000000000001</v>
      </c>
      <c r="J34" s="41"/>
    </row>
    <row r="35" spans="1:76">
      <c r="A35" s="54"/>
      <c r="C35" s="56" t="s">
        <v>164</v>
      </c>
      <c r="D35" s="57" t="s">
        <v>4</v>
      </c>
      <c r="F35" s="58">
        <v>0.57999999999999996</v>
      </c>
      <c r="J35" s="41"/>
    </row>
    <row r="36" spans="1:76">
      <c r="A36" s="1" t="s">
        <v>165</v>
      </c>
      <c r="B36" s="2" t="s">
        <v>166</v>
      </c>
      <c r="C36" s="75" t="s">
        <v>167</v>
      </c>
      <c r="D36" s="70"/>
      <c r="E36" s="2" t="s">
        <v>125</v>
      </c>
      <c r="F36" s="51">
        <v>92.033000000000001</v>
      </c>
      <c r="G36" s="52">
        <v>0</v>
      </c>
      <c r="H36" s="51">
        <f>ROUND(F36*G36,2)</f>
        <v>0</v>
      </c>
      <c r="J36" s="41"/>
      <c r="Z36" s="51">
        <f>ROUND(IF(AQ36="5",BJ36,0),2)</f>
        <v>0</v>
      </c>
      <c r="AB36" s="51">
        <f>ROUND(IF(AQ36="1",BH36,0),2)</f>
        <v>0</v>
      </c>
      <c r="AC36" s="51">
        <f>ROUND(IF(AQ36="1",BI36,0),2)</f>
        <v>0</v>
      </c>
      <c r="AD36" s="51">
        <f>ROUND(IF(AQ36="7",BH36,0),2)</f>
        <v>0</v>
      </c>
      <c r="AE36" s="51">
        <f>ROUND(IF(AQ36="7",BI36,0),2)</f>
        <v>0</v>
      </c>
      <c r="AF36" s="51">
        <f>ROUND(IF(AQ36="2",BH36,0),2)</f>
        <v>0</v>
      </c>
      <c r="AG36" s="51">
        <f>ROUND(IF(AQ36="2",BI36,0),2)</f>
        <v>0</v>
      </c>
      <c r="AH36" s="51">
        <f>ROUND(IF(AQ36="0",BJ36,0),2)</f>
        <v>0</v>
      </c>
      <c r="AI36" s="35" t="s">
        <v>4</v>
      </c>
      <c r="AJ36" s="51">
        <f>IF(AN36=0,H36,0)</f>
        <v>0</v>
      </c>
      <c r="AK36" s="51">
        <f>IF(AN36=12,H36,0)</f>
        <v>0</v>
      </c>
      <c r="AL36" s="51">
        <f>IF(AN36=21,H36,0)</f>
        <v>0</v>
      </c>
      <c r="AN36" s="51">
        <v>12</v>
      </c>
      <c r="AO36" s="51">
        <f>G36*0.369315175</f>
        <v>0</v>
      </c>
      <c r="AP36" s="51">
        <f>G36*(1-0.369315175)</f>
        <v>0</v>
      </c>
      <c r="AQ36" s="53" t="s">
        <v>111</v>
      </c>
      <c r="AV36" s="51">
        <f>ROUND(AW36+AX36,2)</f>
        <v>0</v>
      </c>
      <c r="AW36" s="51">
        <f>ROUND(F36*AO36,2)</f>
        <v>0</v>
      </c>
      <c r="AX36" s="51">
        <f>ROUND(F36*AP36,2)</f>
        <v>0</v>
      </c>
      <c r="AY36" s="53" t="s">
        <v>147</v>
      </c>
      <c r="AZ36" s="53" t="s">
        <v>148</v>
      </c>
      <c r="BA36" s="35" t="s">
        <v>117</v>
      </c>
      <c r="BC36" s="51">
        <f>AW36+AX36</f>
        <v>0</v>
      </c>
      <c r="BD36" s="51">
        <f>G36/(100-BE36)*100</f>
        <v>0</v>
      </c>
      <c r="BE36" s="51">
        <v>0</v>
      </c>
      <c r="BF36" s="51">
        <f>36</f>
        <v>36</v>
      </c>
      <c r="BH36" s="51">
        <f>F36*AO36</f>
        <v>0</v>
      </c>
      <c r="BI36" s="51">
        <f>F36*AP36</f>
        <v>0</v>
      </c>
      <c r="BJ36" s="51">
        <f>F36*G36</f>
        <v>0</v>
      </c>
      <c r="BK36" s="53" t="s">
        <v>118</v>
      </c>
      <c r="BL36" s="51">
        <v>61</v>
      </c>
      <c r="BW36" s="51">
        <v>12</v>
      </c>
      <c r="BX36" s="3" t="s">
        <v>167</v>
      </c>
    </row>
    <row r="37" spans="1:76">
      <c r="A37" s="54"/>
      <c r="C37" s="56" t="s">
        <v>168</v>
      </c>
      <c r="D37" s="57" t="s">
        <v>169</v>
      </c>
      <c r="F37" s="58">
        <v>31.173999999999999</v>
      </c>
      <c r="J37" s="41"/>
    </row>
    <row r="38" spans="1:76">
      <c r="A38" s="54"/>
      <c r="C38" s="56" t="s">
        <v>170</v>
      </c>
      <c r="D38" s="57" t="s">
        <v>4</v>
      </c>
      <c r="F38" s="58">
        <v>-6.4</v>
      </c>
      <c r="J38" s="41"/>
    </row>
    <row r="39" spans="1:76">
      <c r="A39" s="54"/>
      <c r="C39" s="56" t="s">
        <v>171</v>
      </c>
      <c r="D39" s="57" t="s">
        <v>172</v>
      </c>
      <c r="F39" s="58">
        <v>67.259</v>
      </c>
      <c r="J39" s="41"/>
    </row>
    <row r="40" spans="1:76">
      <c r="A40" s="1" t="s">
        <v>173</v>
      </c>
      <c r="B40" s="2" t="s">
        <v>174</v>
      </c>
      <c r="C40" s="75" t="s">
        <v>175</v>
      </c>
      <c r="D40" s="70"/>
      <c r="E40" s="2" t="s">
        <v>125</v>
      </c>
      <c r="F40" s="51">
        <v>4.05</v>
      </c>
      <c r="G40" s="52">
        <v>0</v>
      </c>
      <c r="H40" s="51">
        <f>ROUND(F40*G40,2)</f>
        <v>0</v>
      </c>
      <c r="J40" s="41"/>
      <c r="Z40" s="51">
        <f>ROUND(IF(AQ40="5",BJ40,0),2)</f>
        <v>0</v>
      </c>
      <c r="AB40" s="51">
        <f>ROUND(IF(AQ40="1",BH40,0),2)</f>
        <v>0</v>
      </c>
      <c r="AC40" s="51">
        <f>ROUND(IF(AQ40="1",BI40,0),2)</f>
        <v>0</v>
      </c>
      <c r="AD40" s="51">
        <f>ROUND(IF(AQ40="7",BH40,0),2)</f>
        <v>0</v>
      </c>
      <c r="AE40" s="51">
        <f>ROUND(IF(AQ40="7",BI40,0),2)</f>
        <v>0</v>
      </c>
      <c r="AF40" s="51">
        <f>ROUND(IF(AQ40="2",BH40,0),2)</f>
        <v>0</v>
      </c>
      <c r="AG40" s="51">
        <f>ROUND(IF(AQ40="2",BI40,0),2)</f>
        <v>0</v>
      </c>
      <c r="AH40" s="51">
        <f>ROUND(IF(AQ40="0",BJ40,0),2)</f>
        <v>0</v>
      </c>
      <c r="AI40" s="35" t="s">
        <v>4</v>
      </c>
      <c r="AJ40" s="51">
        <f>IF(AN40=0,H40,0)</f>
        <v>0</v>
      </c>
      <c r="AK40" s="51">
        <f>IF(AN40=12,H40,0)</f>
        <v>0</v>
      </c>
      <c r="AL40" s="51">
        <f>IF(AN40=21,H40,0)</f>
        <v>0</v>
      </c>
      <c r="AN40" s="51">
        <v>12</v>
      </c>
      <c r="AO40" s="51">
        <f>G40*0.267963404</f>
        <v>0</v>
      </c>
      <c r="AP40" s="51">
        <f>G40*(1-0.267963404)</f>
        <v>0</v>
      </c>
      <c r="AQ40" s="53" t="s">
        <v>111</v>
      </c>
      <c r="AV40" s="51">
        <f>ROUND(AW40+AX40,2)</f>
        <v>0</v>
      </c>
      <c r="AW40" s="51">
        <f>ROUND(F40*AO40,2)</f>
        <v>0</v>
      </c>
      <c r="AX40" s="51">
        <f>ROUND(F40*AP40,2)</f>
        <v>0</v>
      </c>
      <c r="AY40" s="53" t="s">
        <v>147</v>
      </c>
      <c r="AZ40" s="53" t="s">
        <v>148</v>
      </c>
      <c r="BA40" s="35" t="s">
        <v>117</v>
      </c>
      <c r="BC40" s="51">
        <f>AW40+AX40</f>
        <v>0</v>
      </c>
      <c r="BD40" s="51">
        <f>G40/(100-BE40)*100</f>
        <v>0</v>
      </c>
      <c r="BE40" s="51">
        <v>0</v>
      </c>
      <c r="BF40" s="51">
        <f>40</f>
        <v>40</v>
      </c>
      <c r="BH40" s="51">
        <f>F40*AO40</f>
        <v>0</v>
      </c>
      <c r="BI40" s="51">
        <f>F40*AP40</f>
        <v>0</v>
      </c>
      <c r="BJ40" s="51">
        <f>F40*G40</f>
        <v>0</v>
      </c>
      <c r="BK40" s="53" t="s">
        <v>118</v>
      </c>
      <c r="BL40" s="51">
        <v>61</v>
      </c>
      <c r="BW40" s="51">
        <v>12</v>
      </c>
      <c r="BX40" s="3" t="s">
        <v>175</v>
      </c>
    </row>
    <row r="41" spans="1:76">
      <c r="A41" s="54"/>
      <c r="C41" s="56" t="s">
        <v>176</v>
      </c>
      <c r="D41" s="57" t="s">
        <v>177</v>
      </c>
      <c r="F41" s="58">
        <v>4.05</v>
      </c>
      <c r="J41" s="41"/>
    </row>
    <row r="42" spans="1:76">
      <c r="A42" s="1" t="s">
        <v>178</v>
      </c>
      <c r="B42" s="2" t="s">
        <v>179</v>
      </c>
      <c r="C42" s="75" t="s">
        <v>180</v>
      </c>
      <c r="D42" s="70"/>
      <c r="E42" s="2" t="s">
        <v>114</v>
      </c>
      <c r="F42" s="51">
        <v>2</v>
      </c>
      <c r="G42" s="52">
        <v>0</v>
      </c>
      <c r="H42" s="51">
        <f>ROUND(F42*G42,2)</f>
        <v>0</v>
      </c>
      <c r="J42" s="41"/>
      <c r="Z42" s="51">
        <f>ROUND(IF(AQ42="5",BJ42,0),2)</f>
        <v>0</v>
      </c>
      <c r="AB42" s="51">
        <f>ROUND(IF(AQ42="1",BH42,0),2)</f>
        <v>0</v>
      </c>
      <c r="AC42" s="51">
        <f>ROUND(IF(AQ42="1",BI42,0),2)</f>
        <v>0</v>
      </c>
      <c r="AD42" s="51">
        <f>ROUND(IF(AQ42="7",BH42,0),2)</f>
        <v>0</v>
      </c>
      <c r="AE42" s="51">
        <f>ROUND(IF(AQ42="7",BI42,0),2)</f>
        <v>0</v>
      </c>
      <c r="AF42" s="51">
        <f>ROUND(IF(AQ42="2",BH42,0),2)</f>
        <v>0</v>
      </c>
      <c r="AG42" s="51">
        <f>ROUND(IF(AQ42="2",BI42,0),2)</f>
        <v>0</v>
      </c>
      <c r="AH42" s="51">
        <f>ROUND(IF(AQ42="0",BJ42,0),2)</f>
        <v>0</v>
      </c>
      <c r="AI42" s="35" t="s">
        <v>4</v>
      </c>
      <c r="AJ42" s="51">
        <f>IF(AN42=0,H42,0)</f>
        <v>0</v>
      </c>
      <c r="AK42" s="51">
        <f>IF(AN42=12,H42,0)</f>
        <v>0</v>
      </c>
      <c r="AL42" s="51">
        <f>IF(AN42=21,H42,0)</f>
        <v>0</v>
      </c>
      <c r="AN42" s="51">
        <v>12</v>
      </c>
      <c r="AO42" s="51">
        <f>G42*0.594408293</f>
        <v>0</v>
      </c>
      <c r="AP42" s="51">
        <f>G42*(1-0.594408293)</f>
        <v>0</v>
      </c>
      <c r="AQ42" s="53" t="s">
        <v>111</v>
      </c>
      <c r="AV42" s="51">
        <f>ROUND(AW42+AX42,2)</f>
        <v>0</v>
      </c>
      <c r="AW42" s="51">
        <f>ROUND(F42*AO42,2)</f>
        <v>0</v>
      </c>
      <c r="AX42" s="51">
        <f>ROUND(F42*AP42,2)</f>
        <v>0</v>
      </c>
      <c r="AY42" s="53" t="s">
        <v>147</v>
      </c>
      <c r="AZ42" s="53" t="s">
        <v>148</v>
      </c>
      <c r="BA42" s="35" t="s">
        <v>117</v>
      </c>
      <c r="BC42" s="51">
        <f>AW42+AX42</f>
        <v>0</v>
      </c>
      <c r="BD42" s="51">
        <f>G42/(100-BE42)*100</f>
        <v>0</v>
      </c>
      <c r="BE42" s="51">
        <v>0</v>
      </c>
      <c r="BF42" s="51">
        <f>42</f>
        <v>42</v>
      </c>
      <c r="BH42" s="51">
        <f>F42*AO42</f>
        <v>0</v>
      </c>
      <c r="BI42" s="51">
        <f>F42*AP42</f>
        <v>0</v>
      </c>
      <c r="BJ42" s="51">
        <f>F42*G42</f>
        <v>0</v>
      </c>
      <c r="BK42" s="53" t="s">
        <v>118</v>
      </c>
      <c r="BL42" s="51">
        <v>61</v>
      </c>
      <c r="BW42" s="51">
        <v>12</v>
      </c>
      <c r="BX42" s="3" t="s">
        <v>180</v>
      </c>
    </row>
    <row r="43" spans="1:76" ht="13.5" customHeight="1">
      <c r="A43" s="54"/>
      <c r="B43" s="55" t="s">
        <v>119</v>
      </c>
      <c r="C43" s="152" t="s">
        <v>181</v>
      </c>
      <c r="D43" s="153"/>
      <c r="E43" s="153"/>
      <c r="F43" s="153"/>
      <c r="G43" s="154"/>
      <c r="H43" s="153"/>
      <c r="I43" s="153"/>
      <c r="J43" s="155"/>
    </row>
    <row r="44" spans="1:76">
      <c r="A44" s="54"/>
      <c r="C44" s="56" t="s">
        <v>121</v>
      </c>
      <c r="D44" s="57" t="s">
        <v>169</v>
      </c>
      <c r="F44" s="58">
        <v>2</v>
      </c>
      <c r="J44" s="41"/>
    </row>
    <row r="45" spans="1:76">
      <c r="A45" s="1" t="s">
        <v>182</v>
      </c>
      <c r="B45" s="2" t="s">
        <v>183</v>
      </c>
      <c r="C45" s="75" t="s">
        <v>184</v>
      </c>
      <c r="D45" s="70"/>
      <c r="E45" s="2" t="s">
        <v>114</v>
      </c>
      <c r="F45" s="51">
        <v>1</v>
      </c>
      <c r="G45" s="52">
        <v>0</v>
      </c>
      <c r="H45" s="51">
        <f>ROUND(F45*G45,2)</f>
        <v>0</v>
      </c>
      <c r="J45" s="41"/>
      <c r="Z45" s="51">
        <f>ROUND(IF(AQ45="5",BJ45,0),2)</f>
        <v>0</v>
      </c>
      <c r="AB45" s="51">
        <f>ROUND(IF(AQ45="1",BH45,0),2)</f>
        <v>0</v>
      </c>
      <c r="AC45" s="51">
        <f>ROUND(IF(AQ45="1",BI45,0),2)</f>
        <v>0</v>
      </c>
      <c r="AD45" s="51">
        <f>ROUND(IF(AQ45="7",BH45,0),2)</f>
        <v>0</v>
      </c>
      <c r="AE45" s="51">
        <f>ROUND(IF(AQ45="7",BI45,0),2)</f>
        <v>0</v>
      </c>
      <c r="AF45" s="51">
        <f>ROUND(IF(AQ45="2",BH45,0),2)</f>
        <v>0</v>
      </c>
      <c r="AG45" s="51">
        <f>ROUND(IF(AQ45="2",BI45,0),2)</f>
        <v>0</v>
      </c>
      <c r="AH45" s="51">
        <f>ROUND(IF(AQ45="0",BJ45,0),2)</f>
        <v>0</v>
      </c>
      <c r="AI45" s="35" t="s">
        <v>4</v>
      </c>
      <c r="AJ45" s="51">
        <f>IF(AN45=0,H45,0)</f>
        <v>0</v>
      </c>
      <c r="AK45" s="51">
        <f>IF(AN45=12,H45,0)</f>
        <v>0</v>
      </c>
      <c r="AL45" s="51">
        <f>IF(AN45=21,H45,0)</f>
        <v>0</v>
      </c>
      <c r="AN45" s="51">
        <v>12</v>
      </c>
      <c r="AO45" s="51">
        <f>G45*0.585547895</f>
        <v>0</v>
      </c>
      <c r="AP45" s="51">
        <f>G45*(1-0.585547895)</f>
        <v>0</v>
      </c>
      <c r="AQ45" s="53" t="s">
        <v>111</v>
      </c>
      <c r="AV45" s="51">
        <f>ROUND(AW45+AX45,2)</f>
        <v>0</v>
      </c>
      <c r="AW45" s="51">
        <f>ROUND(F45*AO45,2)</f>
        <v>0</v>
      </c>
      <c r="AX45" s="51">
        <f>ROUND(F45*AP45,2)</f>
        <v>0</v>
      </c>
      <c r="AY45" s="53" t="s">
        <v>147</v>
      </c>
      <c r="AZ45" s="53" t="s">
        <v>148</v>
      </c>
      <c r="BA45" s="35" t="s">
        <v>117</v>
      </c>
      <c r="BC45" s="51">
        <f>AW45+AX45</f>
        <v>0</v>
      </c>
      <c r="BD45" s="51">
        <f>G45/(100-BE45)*100</f>
        <v>0</v>
      </c>
      <c r="BE45" s="51">
        <v>0</v>
      </c>
      <c r="BF45" s="51">
        <f>45</f>
        <v>45</v>
      </c>
      <c r="BH45" s="51">
        <f>F45*AO45</f>
        <v>0</v>
      </c>
      <c r="BI45" s="51">
        <f>F45*AP45</f>
        <v>0</v>
      </c>
      <c r="BJ45" s="51">
        <f>F45*G45</f>
        <v>0</v>
      </c>
      <c r="BK45" s="53" t="s">
        <v>118</v>
      </c>
      <c r="BL45" s="51">
        <v>61</v>
      </c>
      <c r="BW45" s="51">
        <v>12</v>
      </c>
      <c r="BX45" s="3" t="s">
        <v>184</v>
      </c>
    </row>
    <row r="46" spans="1:76" ht="13.5" customHeight="1">
      <c r="A46" s="54"/>
      <c r="B46" s="55" t="s">
        <v>119</v>
      </c>
      <c r="C46" s="152" t="s">
        <v>181</v>
      </c>
      <c r="D46" s="153"/>
      <c r="E46" s="153"/>
      <c r="F46" s="153"/>
      <c r="G46" s="154"/>
      <c r="H46" s="153"/>
      <c r="I46" s="153"/>
      <c r="J46" s="155"/>
    </row>
    <row r="47" spans="1:76">
      <c r="A47" s="54"/>
      <c r="C47" s="56" t="s">
        <v>111</v>
      </c>
      <c r="D47" s="57" t="s">
        <v>185</v>
      </c>
      <c r="F47" s="58">
        <v>1</v>
      </c>
      <c r="J47" s="41"/>
    </row>
    <row r="48" spans="1:76">
      <c r="A48" s="1" t="s">
        <v>186</v>
      </c>
      <c r="B48" s="2" t="s">
        <v>187</v>
      </c>
      <c r="C48" s="75" t="s">
        <v>188</v>
      </c>
      <c r="D48" s="70"/>
      <c r="E48" s="2" t="s">
        <v>125</v>
      </c>
      <c r="F48" s="51">
        <v>24.67</v>
      </c>
      <c r="G48" s="52">
        <v>0</v>
      </c>
      <c r="H48" s="51">
        <f>ROUND(F48*G48,2)</f>
        <v>0</v>
      </c>
      <c r="J48" s="41"/>
      <c r="Z48" s="51">
        <f>ROUND(IF(AQ48="5",BJ48,0),2)</f>
        <v>0</v>
      </c>
      <c r="AB48" s="51">
        <f>ROUND(IF(AQ48="1",BH48,0),2)</f>
        <v>0</v>
      </c>
      <c r="AC48" s="51">
        <f>ROUND(IF(AQ48="1",BI48,0),2)</f>
        <v>0</v>
      </c>
      <c r="AD48" s="51">
        <f>ROUND(IF(AQ48="7",BH48,0),2)</f>
        <v>0</v>
      </c>
      <c r="AE48" s="51">
        <f>ROUND(IF(AQ48="7",BI48,0),2)</f>
        <v>0</v>
      </c>
      <c r="AF48" s="51">
        <f>ROUND(IF(AQ48="2",BH48,0),2)</f>
        <v>0</v>
      </c>
      <c r="AG48" s="51">
        <f>ROUND(IF(AQ48="2",BI48,0),2)</f>
        <v>0</v>
      </c>
      <c r="AH48" s="51">
        <f>ROUND(IF(AQ48="0",BJ48,0),2)</f>
        <v>0</v>
      </c>
      <c r="AI48" s="35" t="s">
        <v>4</v>
      </c>
      <c r="AJ48" s="51">
        <f>IF(AN48=0,H48,0)</f>
        <v>0</v>
      </c>
      <c r="AK48" s="51">
        <f>IF(AN48=12,H48,0)</f>
        <v>0</v>
      </c>
      <c r="AL48" s="51">
        <f>IF(AN48=21,H48,0)</f>
        <v>0</v>
      </c>
      <c r="AN48" s="51">
        <v>12</v>
      </c>
      <c r="AO48" s="51">
        <f>G48*0.244229735</f>
        <v>0</v>
      </c>
      <c r="AP48" s="51">
        <f>G48*(1-0.244229735)</f>
        <v>0</v>
      </c>
      <c r="AQ48" s="53" t="s">
        <v>111</v>
      </c>
      <c r="AV48" s="51">
        <f>ROUND(AW48+AX48,2)</f>
        <v>0</v>
      </c>
      <c r="AW48" s="51">
        <f>ROUND(F48*AO48,2)</f>
        <v>0</v>
      </c>
      <c r="AX48" s="51">
        <f>ROUND(F48*AP48,2)</f>
        <v>0</v>
      </c>
      <c r="AY48" s="53" t="s">
        <v>147</v>
      </c>
      <c r="AZ48" s="53" t="s">
        <v>148</v>
      </c>
      <c r="BA48" s="35" t="s">
        <v>117</v>
      </c>
      <c r="BC48" s="51">
        <f>AW48+AX48</f>
        <v>0</v>
      </c>
      <c r="BD48" s="51">
        <f>G48/(100-BE48)*100</f>
        <v>0</v>
      </c>
      <c r="BE48" s="51">
        <v>0</v>
      </c>
      <c r="BF48" s="51">
        <f>48</f>
        <v>48</v>
      </c>
      <c r="BH48" s="51">
        <f>F48*AO48</f>
        <v>0</v>
      </c>
      <c r="BI48" s="51">
        <f>F48*AP48</f>
        <v>0</v>
      </c>
      <c r="BJ48" s="51">
        <f>F48*G48</f>
        <v>0</v>
      </c>
      <c r="BK48" s="53" t="s">
        <v>118</v>
      </c>
      <c r="BL48" s="51">
        <v>61</v>
      </c>
      <c r="BW48" s="51">
        <v>12</v>
      </c>
      <c r="BX48" s="3" t="s">
        <v>188</v>
      </c>
    </row>
    <row r="49" spans="1:76" ht="13.5" customHeight="1">
      <c r="A49" s="54"/>
      <c r="B49" s="55" t="s">
        <v>119</v>
      </c>
      <c r="C49" s="152" t="s">
        <v>189</v>
      </c>
      <c r="D49" s="153"/>
      <c r="E49" s="153"/>
      <c r="F49" s="153"/>
      <c r="G49" s="154"/>
      <c r="H49" s="153"/>
      <c r="I49" s="153"/>
      <c r="J49" s="155"/>
    </row>
    <row r="50" spans="1:76">
      <c r="A50" s="54"/>
      <c r="C50" s="56" t="s">
        <v>190</v>
      </c>
      <c r="D50" s="57" t="s">
        <v>169</v>
      </c>
      <c r="F50" s="58">
        <v>9.32</v>
      </c>
      <c r="J50" s="41"/>
    </row>
    <row r="51" spans="1:76">
      <c r="A51" s="54"/>
      <c r="C51" s="56" t="s">
        <v>191</v>
      </c>
      <c r="D51" s="57" t="s">
        <v>4</v>
      </c>
      <c r="F51" s="58">
        <v>7.9930000000000003</v>
      </c>
      <c r="J51" s="41"/>
    </row>
    <row r="52" spans="1:76">
      <c r="A52" s="54"/>
      <c r="C52" s="56" t="s">
        <v>192</v>
      </c>
      <c r="D52" s="57" t="s">
        <v>4</v>
      </c>
      <c r="F52" s="58">
        <v>7.3570000000000002</v>
      </c>
      <c r="J52" s="41"/>
    </row>
    <row r="53" spans="1:76">
      <c r="A53" s="1" t="s">
        <v>193</v>
      </c>
      <c r="B53" s="2" t="s">
        <v>194</v>
      </c>
      <c r="C53" s="75" t="s">
        <v>195</v>
      </c>
      <c r="D53" s="70"/>
      <c r="E53" s="2" t="s">
        <v>125</v>
      </c>
      <c r="F53" s="51">
        <v>24.67</v>
      </c>
      <c r="G53" s="52">
        <v>0</v>
      </c>
      <c r="H53" s="51">
        <f>ROUND(F53*G53,2)</f>
        <v>0</v>
      </c>
      <c r="J53" s="41"/>
      <c r="Z53" s="51">
        <f>ROUND(IF(AQ53="5",BJ53,0),2)</f>
        <v>0</v>
      </c>
      <c r="AB53" s="51">
        <f>ROUND(IF(AQ53="1",BH53,0),2)</f>
        <v>0</v>
      </c>
      <c r="AC53" s="51">
        <f>ROUND(IF(AQ53="1",BI53,0),2)</f>
        <v>0</v>
      </c>
      <c r="AD53" s="51">
        <f>ROUND(IF(AQ53="7",BH53,0),2)</f>
        <v>0</v>
      </c>
      <c r="AE53" s="51">
        <f>ROUND(IF(AQ53="7",BI53,0),2)</f>
        <v>0</v>
      </c>
      <c r="AF53" s="51">
        <f>ROUND(IF(AQ53="2",BH53,0),2)</f>
        <v>0</v>
      </c>
      <c r="AG53" s="51">
        <f>ROUND(IF(AQ53="2",BI53,0),2)</f>
        <v>0</v>
      </c>
      <c r="AH53" s="51">
        <f>ROUND(IF(AQ53="0",BJ53,0),2)</f>
        <v>0</v>
      </c>
      <c r="AI53" s="35" t="s">
        <v>4</v>
      </c>
      <c r="AJ53" s="51">
        <f>IF(AN53=0,H53,0)</f>
        <v>0</v>
      </c>
      <c r="AK53" s="51">
        <f>IF(AN53=12,H53,0)</f>
        <v>0</v>
      </c>
      <c r="AL53" s="51">
        <f>IF(AN53=21,H53,0)</f>
        <v>0</v>
      </c>
      <c r="AN53" s="51">
        <v>12</v>
      </c>
      <c r="AO53" s="51">
        <f>G53*0.384230639</f>
        <v>0</v>
      </c>
      <c r="AP53" s="51">
        <f>G53*(1-0.384230639)</f>
        <v>0</v>
      </c>
      <c r="AQ53" s="53" t="s">
        <v>111</v>
      </c>
      <c r="AV53" s="51">
        <f>ROUND(AW53+AX53,2)</f>
        <v>0</v>
      </c>
      <c r="AW53" s="51">
        <f>ROUND(F53*AO53,2)</f>
        <v>0</v>
      </c>
      <c r="AX53" s="51">
        <f>ROUND(F53*AP53,2)</f>
        <v>0</v>
      </c>
      <c r="AY53" s="53" t="s">
        <v>147</v>
      </c>
      <c r="AZ53" s="53" t="s">
        <v>148</v>
      </c>
      <c r="BA53" s="35" t="s">
        <v>117</v>
      </c>
      <c r="BC53" s="51">
        <f>AW53+AX53</f>
        <v>0</v>
      </c>
      <c r="BD53" s="51">
        <f>G53/(100-BE53)*100</f>
        <v>0</v>
      </c>
      <c r="BE53" s="51">
        <v>0</v>
      </c>
      <c r="BF53" s="51">
        <f>53</f>
        <v>53</v>
      </c>
      <c r="BH53" s="51">
        <f>F53*AO53</f>
        <v>0</v>
      </c>
      <c r="BI53" s="51">
        <f>F53*AP53</f>
        <v>0</v>
      </c>
      <c r="BJ53" s="51">
        <f>F53*G53</f>
        <v>0</v>
      </c>
      <c r="BK53" s="53" t="s">
        <v>118</v>
      </c>
      <c r="BL53" s="51">
        <v>61</v>
      </c>
      <c r="BW53" s="51">
        <v>12</v>
      </c>
      <c r="BX53" s="3" t="s">
        <v>195</v>
      </c>
    </row>
    <row r="54" spans="1:76" ht="13.5" customHeight="1">
      <c r="A54" s="54"/>
      <c r="B54" s="55" t="s">
        <v>119</v>
      </c>
      <c r="C54" s="152" t="s">
        <v>120</v>
      </c>
      <c r="D54" s="153"/>
      <c r="E54" s="153"/>
      <c r="F54" s="153"/>
      <c r="G54" s="154"/>
      <c r="H54" s="153"/>
      <c r="I54" s="153"/>
      <c r="J54" s="155"/>
    </row>
    <row r="55" spans="1:76">
      <c r="A55" s="54"/>
      <c r="C55" s="56" t="s">
        <v>196</v>
      </c>
      <c r="D55" s="57" t="s">
        <v>169</v>
      </c>
      <c r="F55" s="58">
        <v>24.67</v>
      </c>
      <c r="J55" s="41"/>
    </row>
    <row r="56" spans="1:76">
      <c r="A56" s="1" t="s">
        <v>197</v>
      </c>
      <c r="B56" s="2" t="s">
        <v>198</v>
      </c>
      <c r="C56" s="75" t="s">
        <v>199</v>
      </c>
      <c r="D56" s="70"/>
      <c r="E56" s="2" t="s">
        <v>125</v>
      </c>
      <c r="F56" s="51">
        <v>60.683999999999997</v>
      </c>
      <c r="G56" s="52">
        <v>0</v>
      </c>
      <c r="H56" s="51">
        <f>ROUND(F56*G56,2)</f>
        <v>0</v>
      </c>
      <c r="J56" s="41"/>
      <c r="Z56" s="51">
        <f>ROUND(IF(AQ56="5",BJ56,0),2)</f>
        <v>0</v>
      </c>
      <c r="AB56" s="51">
        <f>ROUND(IF(AQ56="1",BH56,0),2)</f>
        <v>0</v>
      </c>
      <c r="AC56" s="51">
        <f>ROUND(IF(AQ56="1",BI56,0),2)</f>
        <v>0</v>
      </c>
      <c r="AD56" s="51">
        <f>ROUND(IF(AQ56="7",BH56,0),2)</f>
        <v>0</v>
      </c>
      <c r="AE56" s="51">
        <f>ROUND(IF(AQ56="7",BI56,0),2)</f>
        <v>0</v>
      </c>
      <c r="AF56" s="51">
        <f>ROUND(IF(AQ56="2",BH56,0),2)</f>
        <v>0</v>
      </c>
      <c r="AG56" s="51">
        <f>ROUND(IF(AQ56="2",BI56,0),2)</f>
        <v>0</v>
      </c>
      <c r="AH56" s="51">
        <f>ROUND(IF(AQ56="0",BJ56,0),2)</f>
        <v>0</v>
      </c>
      <c r="AI56" s="35" t="s">
        <v>4</v>
      </c>
      <c r="AJ56" s="51">
        <f>IF(AN56=0,H56,0)</f>
        <v>0</v>
      </c>
      <c r="AK56" s="51">
        <f>IF(AN56=12,H56,0)</f>
        <v>0</v>
      </c>
      <c r="AL56" s="51">
        <f>IF(AN56=21,H56,0)</f>
        <v>0</v>
      </c>
      <c r="AN56" s="51">
        <v>12</v>
      </c>
      <c r="AO56" s="51">
        <f>G56*0.28456001</f>
        <v>0</v>
      </c>
      <c r="AP56" s="51">
        <f>G56*(1-0.28456001)</f>
        <v>0</v>
      </c>
      <c r="AQ56" s="53" t="s">
        <v>111</v>
      </c>
      <c r="AV56" s="51">
        <f>ROUND(AW56+AX56,2)</f>
        <v>0</v>
      </c>
      <c r="AW56" s="51">
        <f>ROUND(F56*AO56,2)</f>
        <v>0</v>
      </c>
      <c r="AX56" s="51">
        <f>ROUND(F56*AP56,2)</f>
        <v>0</v>
      </c>
      <c r="AY56" s="53" t="s">
        <v>147</v>
      </c>
      <c r="AZ56" s="53" t="s">
        <v>148</v>
      </c>
      <c r="BA56" s="35" t="s">
        <v>117</v>
      </c>
      <c r="BC56" s="51">
        <f>AW56+AX56</f>
        <v>0</v>
      </c>
      <c r="BD56" s="51">
        <f>G56/(100-BE56)*100</f>
        <v>0</v>
      </c>
      <c r="BE56" s="51">
        <v>0</v>
      </c>
      <c r="BF56" s="51">
        <f>56</f>
        <v>56</v>
      </c>
      <c r="BH56" s="51">
        <f>F56*AO56</f>
        <v>0</v>
      </c>
      <c r="BI56" s="51">
        <f>F56*AP56</f>
        <v>0</v>
      </c>
      <c r="BJ56" s="51">
        <f>F56*G56</f>
        <v>0</v>
      </c>
      <c r="BK56" s="53" t="s">
        <v>118</v>
      </c>
      <c r="BL56" s="51">
        <v>61</v>
      </c>
      <c r="BW56" s="51">
        <v>12</v>
      </c>
      <c r="BX56" s="3" t="s">
        <v>199</v>
      </c>
    </row>
    <row r="57" spans="1:76" ht="13.5" customHeight="1">
      <c r="A57" s="54"/>
      <c r="B57" s="55" t="s">
        <v>119</v>
      </c>
      <c r="C57" s="152" t="s">
        <v>200</v>
      </c>
      <c r="D57" s="153"/>
      <c r="E57" s="153"/>
      <c r="F57" s="153"/>
      <c r="G57" s="154"/>
      <c r="H57" s="153"/>
      <c r="I57" s="153"/>
      <c r="J57" s="155"/>
    </row>
    <row r="58" spans="1:76">
      <c r="A58" s="54"/>
      <c r="C58" s="56" t="s">
        <v>201</v>
      </c>
      <c r="D58" s="57" t="s">
        <v>202</v>
      </c>
      <c r="F58" s="58">
        <v>13.114000000000001</v>
      </c>
      <c r="J58" s="41"/>
    </row>
    <row r="59" spans="1:76">
      <c r="A59" s="54"/>
      <c r="C59" s="56" t="s">
        <v>203</v>
      </c>
      <c r="D59" s="57" t="s">
        <v>204</v>
      </c>
      <c r="F59" s="58">
        <v>3.72</v>
      </c>
      <c r="J59" s="41"/>
    </row>
    <row r="60" spans="1:76">
      <c r="A60" s="54"/>
      <c r="C60" s="56" t="s">
        <v>205</v>
      </c>
      <c r="D60" s="57" t="s">
        <v>4</v>
      </c>
      <c r="F60" s="58">
        <v>0.9</v>
      </c>
      <c r="J60" s="41"/>
    </row>
    <row r="61" spans="1:76">
      <c r="A61" s="54"/>
      <c r="C61" s="56" t="s">
        <v>206</v>
      </c>
      <c r="D61" s="57" t="s">
        <v>207</v>
      </c>
      <c r="F61" s="58">
        <v>17.93</v>
      </c>
      <c r="J61" s="41"/>
    </row>
    <row r="62" spans="1:76">
      <c r="A62" s="54"/>
      <c r="C62" s="56" t="s">
        <v>208</v>
      </c>
      <c r="D62" s="57" t="s">
        <v>4</v>
      </c>
      <c r="F62" s="58">
        <v>-2.2050000000000001</v>
      </c>
      <c r="J62" s="41"/>
    </row>
    <row r="63" spans="1:76">
      <c r="A63" s="54"/>
      <c r="C63" s="56" t="s">
        <v>209</v>
      </c>
      <c r="D63" s="57" t="s">
        <v>210</v>
      </c>
      <c r="F63" s="58">
        <v>27.225000000000001</v>
      </c>
      <c r="J63" s="41"/>
    </row>
    <row r="64" spans="1:76">
      <c r="A64" s="1" t="s">
        <v>211</v>
      </c>
      <c r="B64" s="2" t="s">
        <v>212</v>
      </c>
      <c r="C64" s="75" t="s">
        <v>213</v>
      </c>
      <c r="D64" s="70"/>
      <c r="E64" s="2" t="s">
        <v>125</v>
      </c>
      <c r="F64" s="51">
        <v>3.57</v>
      </c>
      <c r="G64" s="52">
        <v>0</v>
      </c>
      <c r="H64" s="51">
        <f>ROUND(F64*G64,2)</f>
        <v>0</v>
      </c>
      <c r="J64" s="41"/>
      <c r="Z64" s="51">
        <f>ROUND(IF(AQ64="5",BJ64,0),2)</f>
        <v>0</v>
      </c>
      <c r="AB64" s="51">
        <f>ROUND(IF(AQ64="1",BH64,0),2)</f>
        <v>0</v>
      </c>
      <c r="AC64" s="51">
        <f>ROUND(IF(AQ64="1",BI64,0),2)</f>
        <v>0</v>
      </c>
      <c r="AD64" s="51">
        <f>ROUND(IF(AQ64="7",BH64,0),2)</f>
        <v>0</v>
      </c>
      <c r="AE64" s="51">
        <f>ROUND(IF(AQ64="7",BI64,0),2)</f>
        <v>0</v>
      </c>
      <c r="AF64" s="51">
        <f>ROUND(IF(AQ64="2",BH64,0),2)</f>
        <v>0</v>
      </c>
      <c r="AG64" s="51">
        <f>ROUND(IF(AQ64="2",BI64,0),2)</f>
        <v>0</v>
      </c>
      <c r="AH64" s="51">
        <f>ROUND(IF(AQ64="0",BJ64,0),2)</f>
        <v>0</v>
      </c>
      <c r="AI64" s="35" t="s">
        <v>4</v>
      </c>
      <c r="AJ64" s="51">
        <f>IF(AN64=0,H64,0)</f>
        <v>0</v>
      </c>
      <c r="AK64" s="51">
        <f>IF(AN64=12,H64,0)</f>
        <v>0</v>
      </c>
      <c r="AL64" s="51">
        <f>IF(AN64=21,H64,0)</f>
        <v>0</v>
      </c>
      <c r="AN64" s="51">
        <v>12</v>
      </c>
      <c r="AO64" s="51">
        <f>G64*0.283684138</f>
        <v>0</v>
      </c>
      <c r="AP64" s="51">
        <f>G64*(1-0.283684138)</f>
        <v>0</v>
      </c>
      <c r="AQ64" s="53" t="s">
        <v>111</v>
      </c>
      <c r="AV64" s="51">
        <f>ROUND(AW64+AX64,2)</f>
        <v>0</v>
      </c>
      <c r="AW64" s="51">
        <f>ROUND(F64*AO64,2)</f>
        <v>0</v>
      </c>
      <c r="AX64" s="51">
        <f>ROUND(F64*AP64,2)</f>
        <v>0</v>
      </c>
      <c r="AY64" s="53" t="s">
        <v>147</v>
      </c>
      <c r="AZ64" s="53" t="s">
        <v>148</v>
      </c>
      <c r="BA64" s="35" t="s">
        <v>117</v>
      </c>
      <c r="BC64" s="51">
        <f>AW64+AX64</f>
        <v>0</v>
      </c>
      <c r="BD64" s="51">
        <f>G64/(100-BE64)*100</f>
        <v>0</v>
      </c>
      <c r="BE64" s="51">
        <v>0</v>
      </c>
      <c r="BF64" s="51">
        <f>64</f>
        <v>64</v>
      </c>
      <c r="BH64" s="51">
        <f>F64*AO64</f>
        <v>0</v>
      </c>
      <c r="BI64" s="51">
        <f>F64*AP64</f>
        <v>0</v>
      </c>
      <c r="BJ64" s="51">
        <f>F64*G64</f>
        <v>0</v>
      </c>
      <c r="BK64" s="53" t="s">
        <v>118</v>
      </c>
      <c r="BL64" s="51">
        <v>61</v>
      </c>
      <c r="BW64" s="51">
        <v>12</v>
      </c>
      <c r="BX64" s="3" t="s">
        <v>213</v>
      </c>
    </row>
    <row r="65" spans="1:76" ht="13.5" customHeight="1">
      <c r="A65" s="54"/>
      <c r="B65" s="55" t="s">
        <v>119</v>
      </c>
      <c r="C65" s="152" t="s">
        <v>120</v>
      </c>
      <c r="D65" s="153"/>
      <c r="E65" s="153"/>
      <c r="F65" s="153"/>
      <c r="G65" s="154"/>
      <c r="H65" s="153"/>
      <c r="I65" s="153"/>
      <c r="J65" s="155"/>
    </row>
    <row r="66" spans="1:76">
      <c r="A66" s="54"/>
      <c r="C66" s="56" t="s">
        <v>214</v>
      </c>
      <c r="D66" s="57" t="s">
        <v>215</v>
      </c>
      <c r="F66" s="58">
        <v>1.68</v>
      </c>
      <c r="J66" s="41"/>
    </row>
    <row r="67" spans="1:76">
      <c r="A67" s="54"/>
      <c r="C67" s="56" t="s">
        <v>216</v>
      </c>
      <c r="D67" s="57" t="s">
        <v>217</v>
      </c>
      <c r="F67" s="58">
        <v>1.89</v>
      </c>
      <c r="J67" s="41"/>
    </row>
    <row r="68" spans="1:76">
      <c r="A68" s="1" t="s">
        <v>218</v>
      </c>
      <c r="B68" s="2" t="s">
        <v>219</v>
      </c>
      <c r="C68" s="75" t="s">
        <v>220</v>
      </c>
      <c r="D68" s="70"/>
      <c r="E68" s="2" t="s">
        <v>135</v>
      </c>
      <c r="F68" s="51">
        <v>3</v>
      </c>
      <c r="G68" s="52">
        <v>0</v>
      </c>
      <c r="H68" s="51">
        <f>ROUND(F68*G68,2)</f>
        <v>0</v>
      </c>
      <c r="J68" s="41"/>
      <c r="Z68" s="51">
        <f>ROUND(IF(AQ68="5",BJ68,0),2)</f>
        <v>0</v>
      </c>
      <c r="AB68" s="51">
        <f>ROUND(IF(AQ68="1",BH68,0),2)</f>
        <v>0</v>
      </c>
      <c r="AC68" s="51">
        <f>ROUND(IF(AQ68="1",BI68,0),2)</f>
        <v>0</v>
      </c>
      <c r="AD68" s="51">
        <f>ROUND(IF(AQ68="7",BH68,0),2)</f>
        <v>0</v>
      </c>
      <c r="AE68" s="51">
        <f>ROUND(IF(AQ68="7",BI68,0),2)</f>
        <v>0</v>
      </c>
      <c r="AF68" s="51">
        <f>ROUND(IF(AQ68="2",BH68,0),2)</f>
        <v>0</v>
      </c>
      <c r="AG68" s="51">
        <f>ROUND(IF(AQ68="2",BI68,0),2)</f>
        <v>0</v>
      </c>
      <c r="AH68" s="51">
        <f>ROUND(IF(AQ68="0",BJ68,0),2)</f>
        <v>0</v>
      </c>
      <c r="AI68" s="35" t="s">
        <v>4</v>
      </c>
      <c r="AJ68" s="51">
        <f>IF(AN68=0,H68,0)</f>
        <v>0</v>
      </c>
      <c r="AK68" s="51">
        <f>IF(AN68=12,H68,0)</f>
        <v>0</v>
      </c>
      <c r="AL68" s="51">
        <f>IF(AN68=21,H68,0)</f>
        <v>0</v>
      </c>
      <c r="AN68" s="51">
        <v>12</v>
      </c>
      <c r="AO68" s="51">
        <f>G68*0.599103669</f>
        <v>0</v>
      </c>
      <c r="AP68" s="51">
        <f>G68*(1-0.599103669)</f>
        <v>0</v>
      </c>
      <c r="AQ68" s="53" t="s">
        <v>111</v>
      </c>
      <c r="AV68" s="51">
        <f>ROUND(AW68+AX68,2)</f>
        <v>0</v>
      </c>
      <c r="AW68" s="51">
        <f>ROUND(F68*AO68,2)</f>
        <v>0</v>
      </c>
      <c r="AX68" s="51">
        <f>ROUND(F68*AP68,2)</f>
        <v>0</v>
      </c>
      <c r="AY68" s="53" t="s">
        <v>147</v>
      </c>
      <c r="AZ68" s="53" t="s">
        <v>148</v>
      </c>
      <c r="BA68" s="35" t="s">
        <v>117</v>
      </c>
      <c r="BC68" s="51">
        <f>AW68+AX68</f>
        <v>0</v>
      </c>
      <c r="BD68" s="51">
        <f>G68/(100-BE68)*100</f>
        <v>0</v>
      </c>
      <c r="BE68" s="51">
        <v>0</v>
      </c>
      <c r="BF68" s="51">
        <f>68</f>
        <v>68</v>
      </c>
      <c r="BH68" s="51">
        <f>F68*AO68</f>
        <v>0</v>
      </c>
      <c r="BI68" s="51">
        <f>F68*AP68</f>
        <v>0</v>
      </c>
      <c r="BJ68" s="51">
        <f>F68*G68</f>
        <v>0</v>
      </c>
      <c r="BK68" s="53" t="s">
        <v>118</v>
      </c>
      <c r="BL68" s="51">
        <v>61</v>
      </c>
      <c r="BW68" s="51">
        <v>12</v>
      </c>
      <c r="BX68" s="3" t="s">
        <v>220</v>
      </c>
    </row>
    <row r="69" spans="1:76" ht="13.5" customHeight="1">
      <c r="A69" s="54"/>
      <c r="B69" s="55" t="s">
        <v>119</v>
      </c>
      <c r="C69" s="152" t="s">
        <v>221</v>
      </c>
      <c r="D69" s="153"/>
      <c r="E69" s="153"/>
      <c r="F69" s="153"/>
      <c r="G69" s="154"/>
      <c r="H69" s="153"/>
      <c r="I69" s="153"/>
      <c r="J69" s="155"/>
    </row>
    <row r="70" spans="1:76">
      <c r="A70" s="54"/>
      <c r="C70" s="56" t="s">
        <v>222</v>
      </c>
      <c r="D70" s="57" t="s">
        <v>4</v>
      </c>
      <c r="F70" s="58">
        <v>3</v>
      </c>
      <c r="J70" s="41"/>
    </row>
    <row r="71" spans="1:76">
      <c r="A71" s="47" t="s">
        <v>4</v>
      </c>
      <c r="B71" s="48" t="s">
        <v>223</v>
      </c>
      <c r="C71" s="150" t="s">
        <v>224</v>
      </c>
      <c r="D71" s="151"/>
      <c r="E71" s="49" t="s">
        <v>79</v>
      </c>
      <c r="F71" s="49" t="s">
        <v>79</v>
      </c>
      <c r="G71" s="50" t="s">
        <v>79</v>
      </c>
      <c r="H71" s="28">
        <f>SUM(H72:H76)</f>
        <v>0</v>
      </c>
      <c r="J71" s="41"/>
      <c r="AI71" s="35" t="s">
        <v>4</v>
      </c>
      <c r="AS71" s="28">
        <f>SUM(AJ72:AJ76)</f>
        <v>0</v>
      </c>
      <c r="AT71" s="28">
        <f>SUM(AK72:AK76)</f>
        <v>0</v>
      </c>
      <c r="AU71" s="28">
        <f>SUM(AL72:AL76)</f>
        <v>0</v>
      </c>
    </row>
    <row r="72" spans="1:76">
      <c r="A72" s="1" t="s">
        <v>225</v>
      </c>
      <c r="B72" s="2" t="s">
        <v>226</v>
      </c>
      <c r="C72" s="75" t="s">
        <v>227</v>
      </c>
      <c r="D72" s="70"/>
      <c r="E72" s="2" t="s">
        <v>125</v>
      </c>
      <c r="F72" s="51">
        <v>25.495000000000001</v>
      </c>
      <c r="G72" s="52">
        <v>0</v>
      </c>
      <c r="H72" s="51">
        <f>ROUND(F72*G72,2)</f>
        <v>0</v>
      </c>
      <c r="J72" s="41"/>
      <c r="Z72" s="51">
        <f>ROUND(IF(AQ72="5",BJ72,0),2)</f>
        <v>0</v>
      </c>
      <c r="AB72" s="51">
        <f>ROUND(IF(AQ72="1",BH72,0),2)</f>
        <v>0</v>
      </c>
      <c r="AC72" s="51">
        <f>ROUND(IF(AQ72="1",BI72,0),2)</f>
        <v>0</v>
      </c>
      <c r="AD72" s="51">
        <f>ROUND(IF(AQ72="7",BH72,0),2)</f>
        <v>0</v>
      </c>
      <c r="AE72" s="51">
        <f>ROUND(IF(AQ72="7",BI72,0),2)</f>
        <v>0</v>
      </c>
      <c r="AF72" s="51">
        <f>ROUND(IF(AQ72="2",BH72,0),2)</f>
        <v>0</v>
      </c>
      <c r="AG72" s="51">
        <f>ROUND(IF(AQ72="2",BI72,0),2)</f>
        <v>0</v>
      </c>
      <c r="AH72" s="51">
        <f>ROUND(IF(AQ72="0",BJ72,0),2)</f>
        <v>0</v>
      </c>
      <c r="AI72" s="35" t="s">
        <v>4</v>
      </c>
      <c r="AJ72" s="51">
        <f>IF(AN72=0,H72,0)</f>
        <v>0</v>
      </c>
      <c r="AK72" s="51">
        <f>IF(AN72=12,H72,0)</f>
        <v>0</v>
      </c>
      <c r="AL72" s="51">
        <f>IF(AN72=21,H72,0)</f>
        <v>0</v>
      </c>
      <c r="AN72" s="51">
        <v>12</v>
      </c>
      <c r="AO72" s="51">
        <f>G72*0.583447174</f>
        <v>0</v>
      </c>
      <c r="AP72" s="51">
        <f>G72*(1-0.583447174)</f>
        <v>0</v>
      </c>
      <c r="AQ72" s="53" t="s">
        <v>111</v>
      </c>
      <c r="AV72" s="51">
        <f>ROUND(AW72+AX72,2)</f>
        <v>0</v>
      </c>
      <c r="AW72" s="51">
        <f>ROUND(F72*AO72,2)</f>
        <v>0</v>
      </c>
      <c r="AX72" s="51">
        <f>ROUND(F72*AP72,2)</f>
        <v>0</v>
      </c>
      <c r="AY72" s="53" t="s">
        <v>228</v>
      </c>
      <c r="AZ72" s="53" t="s">
        <v>148</v>
      </c>
      <c r="BA72" s="35" t="s">
        <v>117</v>
      </c>
      <c r="BC72" s="51">
        <f>AW72+AX72</f>
        <v>0</v>
      </c>
      <c r="BD72" s="51">
        <f>G72/(100-BE72)*100</f>
        <v>0</v>
      </c>
      <c r="BE72" s="51">
        <v>0</v>
      </c>
      <c r="BF72" s="51">
        <f>72</f>
        <v>72</v>
      </c>
      <c r="BH72" s="51">
        <f>F72*AO72</f>
        <v>0</v>
      </c>
      <c r="BI72" s="51">
        <f>F72*AP72</f>
        <v>0</v>
      </c>
      <c r="BJ72" s="51">
        <f>F72*G72</f>
        <v>0</v>
      </c>
      <c r="BK72" s="53" t="s">
        <v>118</v>
      </c>
      <c r="BL72" s="51">
        <v>63</v>
      </c>
      <c r="BW72" s="51">
        <v>12</v>
      </c>
      <c r="BX72" s="3" t="s">
        <v>227</v>
      </c>
    </row>
    <row r="73" spans="1:76">
      <c r="A73" s="54"/>
      <c r="C73" s="56" t="s">
        <v>229</v>
      </c>
      <c r="D73" s="57" t="s">
        <v>185</v>
      </c>
      <c r="F73" s="58">
        <v>2.3050000000000002</v>
      </c>
      <c r="J73" s="41"/>
    </row>
    <row r="74" spans="1:76">
      <c r="A74" s="54"/>
      <c r="C74" s="56" t="s">
        <v>230</v>
      </c>
      <c r="D74" s="57" t="s">
        <v>210</v>
      </c>
      <c r="F74" s="58">
        <v>14.53</v>
      </c>
      <c r="J74" s="41"/>
    </row>
    <row r="75" spans="1:76">
      <c r="A75" s="54"/>
      <c r="C75" s="56" t="s">
        <v>231</v>
      </c>
      <c r="D75" s="57" t="s">
        <v>207</v>
      </c>
      <c r="F75" s="58">
        <v>8.66</v>
      </c>
      <c r="J75" s="41"/>
    </row>
    <row r="76" spans="1:76">
      <c r="A76" s="1" t="s">
        <v>232</v>
      </c>
      <c r="B76" s="2" t="s">
        <v>233</v>
      </c>
      <c r="C76" s="75" t="s">
        <v>234</v>
      </c>
      <c r="D76" s="70"/>
      <c r="E76" s="2" t="s">
        <v>125</v>
      </c>
      <c r="F76" s="51">
        <v>25.495000000000001</v>
      </c>
      <c r="G76" s="52">
        <v>0</v>
      </c>
      <c r="H76" s="51">
        <f>ROUND(F76*G76,2)</f>
        <v>0</v>
      </c>
      <c r="J76" s="41"/>
      <c r="Z76" s="51">
        <f>ROUND(IF(AQ76="5",BJ76,0),2)</f>
        <v>0</v>
      </c>
      <c r="AB76" s="51">
        <f>ROUND(IF(AQ76="1",BH76,0),2)</f>
        <v>0</v>
      </c>
      <c r="AC76" s="51">
        <f>ROUND(IF(AQ76="1",BI76,0),2)</f>
        <v>0</v>
      </c>
      <c r="AD76" s="51">
        <f>ROUND(IF(AQ76="7",BH76,0),2)</f>
        <v>0</v>
      </c>
      <c r="AE76" s="51">
        <f>ROUND(IF(AQ76="7",BI76,0),2)</f>
        <v>0</v>
      </c>
      <c r="AF76" s="51">
        <f>ROUND(IF(AQ76="2",BH76,0),2)</f>
        <v>0</v>
      </c>
      <c r="AG76" s="51">
        <f>ROUND(IF(AQ76="2",BI76,0),2)</f>
        <v>0</v>
      </c>
      <c r="AH76" s="51">
        <f>ROUND(IF(AQ76="0",BJ76,0),2)</f>
        <v>0</v>
      </c>
      <c r="AI76" s="35" t="s">
        <v>4</v>
      </c>
      <c r="AJ76" s="51">
        <f>IF(AN76=0,H76,0)</f>
        <v>0</v>
      </c>
      <c r="AK76" s="51">
        <f>IF(AN76=12,H76,0)</f>
        <v>0</v>
      </c>
      <c r="AL76" s="51">
        <f>IF(AN76=21,H76,0)</f>
        <v>0</v>
      </c>
      <c r="AN76" s="51">
        <v>12</v>
      </c>
      <c r="AO76" s="51">
        <f>G76*0.486725724</f>
        <v>0</v>
      </c>
      <c r="AP76" s="51">
        <f>G76*(1-0.486725724)</f>
        <v>0</v>
      </c>
      <c r="AQ76" s="53" t="s">
        <v>111</v>
      </c>
      <c r="AV76" s="51">
        <f>ROUND(AW76+AX76,2)</f>
        <v>0</v>
      </c>
      <c r="AW76" s="51">
        <f>ROUND(F76*AO76,2)</f>
        <v>0</v>
      </c>
      <c r="AX76" s="51">
        <f>ROUND(F76*AP76,2)</f>
        <v>0</v>
      </c>
      <c r="AY76" s="53" t="s">
        <v>228</v>
      </c>
      <c r="AZ76" s="53" t="s">
        <v>148</v>
      </c>
      <c r="BA76" s="35" t="s">
        <v>117</v>
      </c>
      <c r="BC76" s="51">
        <f>AW76+AX76</f>
        <v>0</v>
      </c>
      <c r="BD76" s="51">
        <f>G76/(100-BE76)*100</f>
        <v>0</v>
      </c>
      <c r="BE76" s="51">
        <v>0</v>
      </c>
      <c r="BF76" s="51">
        <f>76</f>
        <v>76</v>
      </c>
      <c r="BH76" s="51">
        <f>F76*AO76</f>
        <v>0</v>
      </c>
      <c r="BI76" s="51">
        <f>F76*AP76</f>
        <v>0</v>
      </c>
      <c r="BJ76" s="51">
        <f>F76*G76</f>
        <v>0</v>
      </c>
      <c r="BK76" s="53" t="s">
        <v>118</v>
      </c>
      <c r="BL76" s="51">
        <v>63</v>
      </c>
      <c r="BW76" s="51">
        <v>12</v>
      </c>
      <c r="BX76" s="3" t="s">
        <v>234</v>
      </c>
    </row>
    <row r="77" spans="1:76">
      <c r="A77" s="47" t="s">
        <v>4</v>
      </c>
      <c r="B77" s="48" t="s">
        <v>235</v>
      </c>
      <c r="C77" s="150" t="s">
        <v>236</v>
      </c>
      <c r="D77" s="151"/>
      <c r="E77" s="49" t="s">
        <v>79</v>
      </c>
      <c r="F77" s="49" t="s">
        <v>79</v>
      </c>
      <c r="G77" s="50" t="s">
        <v>79</v>
      </c>
      <c r="H77" s="28">
        <f>SUM(H78:H84)</f>
        <v>0</v>
      </c>
      <c r="J77" s="41"/>
      <c r="AI77" s="35" t="s">
        <v>4</v>
      </c>
      <c r="AS77" s="28">
        <f>SUM(AJ78:AJ84)</f>
        <v>0</v>
      </c>
      <c r="AT77" s="28">
        <f>SUM(AK78:AK84)</f>
        <v>0</v>
      </c>
      <c r="AU77" s="28">
        <f>SUM(AL78:AL84)</f>
        <v>0</v>
      </c>
    </row>
    <row r="78" spans="1:76">
      <c r="A78" s="1" t="s">
        <v>237</v>
      </c>
      <c r="B78" s="2" t="s">
        <v>238</v>
      </c>
      <c r="C78" s="75" t="s">
        <v>239</v>
      </c>
      <c r="D78" s="70"/>
      <c r="E78" s="2" t="s">
        <v>240</v>
      </c>
      <c r="F78" s="51">
        <v>10</v>
      </c>
      <c r="G78" s="52">
        <v>0</v>
      </c>
      <c r="H78" s="51">
        <f>ROUND(F78*G78,2)</f>
        <v>0</v>
      </c>
      <c r="J78" s="41"/>
      <c r="Z78" s="51">
        <f>ROUND(IF(AQ78="5",BJ78,0),2)</f>
        <v>0</v>
      </c>
      <c r="AB78" s="51">
        <f>ROUND(IF(AQ78="1",BH78,0),2)</f>
        <v>0</v>
      </c>
      <c r="AC78" s="51">
        <f>ROUND(IF(AQ78="1",BI78,0),2)</f>
        <v>0</v>
      </c>
      <c r="AD78" s="51">
        <f>ROUND(IF(AQ78="7",BH78,0),2)</f>
        <v>0</v>
      </c>
      <c r="AE78" s="51">
        <f>ROUND(IF(AQ78="7",BI78,0),2)</f>
        <v>0</v>
      </c>
      <c r="AF78" s="51">
        <f>ROUND(IF(AQ78="2",BH78,0),2)</f>
        <v>0</v>
      </c>
      <c r="AG78" s="51">
        <f>ROUND(IF(AQ78="2",BI78,0),2)</f>
        <v>0</v>
      </c>
      <c r="AH78" s="51">
        <f>ROUND(IF(AQ78="0",BJ78,0),2)</f>
        <v>0</v>
      </c>
      <c r="AI78" s="35" t="s">
        <v>4</v>
      </c>
      <c r="AJ78" s="51">
        <f>IF(AN78=0,H78,0)</f>
        <v>0</v>
      </c>
      <c r="AK78" s="51">
        <f>IF(AN78=12,H78,0)</f>
        <v>0</v>
      </c>
      <c r="AL78" s="51">
        <f>IF(AN78=21,H78,0)</f>
        <v>0</v>
      </c>
      <c r="AN78" s="51">
        <v>12</v>
      </c>
      <c r="AO78" s="51">
        <f>G78*0</f>
        <v>0</v>
      </c>
      <c r="AP78" s="51">
        <f>G78*(1-0)</f>
        <v>0</v>
      </c>
      <c r="AQ78" s="53" t="s">
        <v>111</v>
      </c>
      <c r="AV78" s="51">
        <f>ROUND(AW78+AX78,2)</f>
        <v>0</v>
      </c>
      <c r="AW78" s="51">
        <f>ROUND(F78*AO78,2)</f>
        <v>0</v>
      </c>
      <c r="AX78" s="51">
        <f>ROUND(F78*AP78,2)</f>
        <v>0</v>
      </c>
      <c r="AY78" s="53" t="s">
        <v>241</v>
      </c>
      <c r="AZ78" s="53" t="s">
        <v>242</v>
      </c>
      <c r="BA78" s="35" t="s">
        <v>117</v>
      </c>
      <c r="BC78" s="51">
        <f>AW78+AX78</f>
        <v>0</v>
      </c>
      <c r="BD78" s="51">
        <f>G78/(100-BE78)*100</f>
        <v>0</v>
      </c>
      <c r="BE78" s="51">
        <v>0</v>
      </c>
      <c r="BF78" s="51">
        <f>78</f>
        <v>78</v>
      </c>
      <c r="BH78" s="51">
        <f>F78*AO78</f>
        <v>0</v>
      </c>
      <c r="BI78" s="51">
        <f>F78*AP78</f>
        <v>0</v>
      </c>
      <c r="BJ78" s="51">
        <f>F78*G78</f>
        <v>0</v>
      </c>
      <c r="BK78" s="53" t="s">
        <v>118</v>
      </c>
      <c r="BL78" s="51">
        <v>95</v>
      </c>
      <c r="BW78" s="51">
        <v>12</v>
      </c>
      <c r="BX78" s="3" t="s">
        <v>239</v>
      </c>
    </row>
    <row r="79" spans="1:76" ht="13.5" customHeight="1">
      <c r="A79" s="54"/>
      <c r="B79" s="55" t="s">
        <v>119</v>
      </c>
      <c r="C79" s="152" t="s">
        <v>243</v>
      </c>
      <c r="D79" s="153"/>
      <c r="E79" s="153"/>
      <c r="F79" s="153"/>
      <c r="G79" s="154"/>
      <c r="H79" s="153"/>
      <c r="I79" s="153"/>
      <c r="J79" s="155"/>
    </row>
    <row r="80" spans="1:76">
      <c r="A80" s="1" t="s">
        <v>244</v>
      </c>
      <c r="B80" s="2" t="s">
        <v>245</v>
      </c>
      <c r="C80" s="75" t="s">
        <v>246</v>
      </c>
      <c r="D80" s="70"/>
      <c r="E80" s="2" t="s">
        <v>247</v>
      </c>
      <c r="F80" s="51">
        <v>1</v>
      </c>
      <c r="G80" s="52">
        <v>0</v>
      </c>
      <c r="H80" s="51">
        <f>ROUND(F80*G80,2)</f>
        <v>0</v>
      </c>
      <c r="J80" s="41"/>
      <c r="Z80" s="51">
        <f>ROUND(IF(AQ80="5",BJ80,0),2)</f>
        <v>0</v>
      </c>
      <c r="AB80" s="51">
        <f>ROUND(IF(AQ80="1",BH80,0),2)</f>
        <v>0</v>
      </c>
      <c r="AC80" s="51">
        <f>ROUND(IF(AQ80="1",BI80,0),2)</f>
        <v>0</v>
      </c>
      <c r="AD80" s="51">
        <f>ROUND(IF(AQ80="7",BH80,0),2)</f>
        <v>0</v>
      </c>
      <c r="AE80" s="51">
        <f>ROUND(IF(AQ80="7",BI80,0),2)</f>
        <v>0</v>
      </c>
      <c r="AF80" s="51">
        <f>ROUND(IF(AQ80="2",BH80,0),2)</f>
        <v>0</v>
      </c>
      <c r="AG80" s="51">
        <f>ROUND(IF(AQ80="2",BI80,0),2)</f>
        <v>0</v>
      </c>
      <c r="AH80" s="51">
        <f>ROUND(IF(AQ80="0",BJ80,0),2)</f>
        <v>0</v>
      </c>
      <c r="AI80" s="35" t="s">
        <v>4</v>
      </c>
      <c r="AJ80" s="51">
        <f>IF(AN80=0,H80,0)</f>
        <v>0</v>
      </c>
      <c r="AK80" s="51">
        <f>IF(AN80=12,H80,0)</f>
        <v>0</v>
      </c>
      <c r="AL80" s="51">
        <f>IF(AN80=21,H80,0)</f>
        <v>0</v>
      </c>
      <c r="AN80" s="51">
        <v>12</v>
      </c>
      <c r="AO80" s="51">
        <f>G80*0</f>
        <v>0</v>
      </c>
      <c r="AP80" s="51">
        <f>G80*(1-0)</f>
        <v>0</v>
      </c>
      <c r="AQ80" s="53" t="s">
        <v>111</v>
      </c>
      <c r="AV80" s="51">
        <f>ROUND(AW80+AX80,2)</f>
        <v>0</v>
      </c>
      <c r="AW80" s="51">
        <f>ROUND(F80*AO80,2)</f>
        <v>0</v>
      </c>
      <c r="AX80" s="51">
        <f>ROUND(F80*AP80,2)</f>
        <v>0</v>
      </c>
      <c r="AY80" s="53" t="s">
        <v>241</v>
      </c>
      <c r="AZ80" s="53" t="s">
        <v>242</v>
      </c>
      <c r="BA80" s="35" t="s">
        <v>117</v>
      </c>
      <c r="BC80" s="51">
        <f>AW80+AX80</f>
        <v>0</v>
      </c>
      <c r="BD80" s="51">
        <f>G80/(100-BE80)*100</f>
        <v>0</v>
      </c>
      <c r="BE80" s="51">
        <v>0</v>
      </c>
      <c r="BF80" s="51">
        <f>80</f>
        <v>80</v>
      </c>
      <c r="BH80" s="51">
        <f>F80*AO80</f>
        <v>0</v>
      </c>
      <c r="BI80" s="51">
        <f>F80*AP80</f>
        <v>0</v>
      </c>
      <c r="BJ80" s="51">
        <f>F80*G80</f>
        <v>0</v>
      </c>
      <c r="BK80" s="53" t="s">
        <v>118</v>
      </c>
      <c r="BL80" s="51">
        <v>95</v>
      </c>
      <c r="BW80" s="51">
        <v>12</v>
      </c>
      <c r="BX80" s="3" t="s">
        <v>246</v>
      </c>
    </row>
    <row r="81" spans="1:76">
      <c r="A81" s="1" t="s">
        <v>248</v>
      </c>
      <c r="B81" s="2" t="s">
        <v>249</v>
      </c>
      <c r="C81" s="75" t="s">
        <v>250</v>
      </c>
      <c r="D81" s="70"/>
      <c r="E81" s="2" t="s">
        <v>125</v>
      </c>
      <c r="F81" s="51">
        <v>30</v>
      </c>
      <c r="G81" s="52">
        <v>0</v>
      </c>
      <c r="H81" s="51">
        <f>ROUND(F81*G81,2)</f>
        <v>0</v>
      </c>
      <c r="J81" s="41"/>
      <c r="Z81" s="51">
        <f>ROUND(IF(AQ81="5",BJ81,0),2)</f>
        <v>0</v>
      </c>
      <c r="AB81" s="51">
        <f>ROUND(IF(AQ81="1",BH81,0),2)</f>
        <v>0</v>
      </c>
      <c r="AC81" s="51">
        <f>ROUND(IF(AQ81="1",BI81,0),2)</f>
        <v>0</v>
      </c>
      <c r="AD81" s="51">
        <f>ROUND(IF(AQ81="7",BH81,0),2)</f>
        <v>0</v>
      </c>
      <c r="AE81" s="51">
        <f>ROUND(IF(AQ81="7",BI81,0),2)</f>
        <v>0</v>
      </c>
      <c r="AF81" s="51">
        <f>ROUND(IF(AQ81="2",BH81,0),2)</f>
        <v>0</v>
      </c>
      <c r="AG81" s="51">
        <f>ROUND(IF(AQ81="2",BI81,0),2)</f>
        <v>0</v>
      </c>
      <c r="AH81" s="51">
        <f>ROUND(IF(AQ81="0",BJ81,0),2)</f>
        <v>0</v>
      </c>
      <c r="AI81" s="35" t="s">
        <v>4</v>
      </c>
      <c r="AJ81" s="51">
        <f>IF(AN81=0,H81,0)</f>
        <v>0</v>
      </c>
      <c r="AK81" s="51">
        <f>IF(AN81=12,H81,0)</f>
        <v>0</v>
      </c>
      <c r="AL81" s="51">
        <f>IF(AN81=21,H81,0)</f>
        <v>0</v>
      </c>
      <c r="AN81" s="51">
        <v>12</v>
      </c>
      <c r="AO81" s="51">
        <f>G81*0.012649573</f>
        <v>0</v>
      </c>
      <c r="AP81" s="51">
        <f>G81*(1-0.012649573)</f>
        <v>0</v>
      </c>
      <c r="AQ81" s="53" t="s">
        <v>111</v>
      </c>
      <c r="AV81" s="51">
        <f>ROUND(AW81+AX81,2)</f>
        <v>0</v>
      </c>
      <c r="AW81" s="51">
        <f>ROUND(F81*AO81,2)</f>
        <v>0</v>
      </c>
      <c r="AX81" s="51">
        <f>ROUND(F81*AP81,2)</f>
        <v>0</v>
      </c>
      <c r="AY81" s="53" t="s">
        <v>241</v>
      </c>
      <c r="AZ81" s="53" t="s">
        <v>242</v>
      </c>
      <c r="BA81" s="35" t="s">
        <v>117</v>
      </c>
      <c r="BC81" s="51">
        <f>AW81+AX81</f>
        <v>0</v>
      </c>
      <c r="BD81" s="51">
        <f>G81/(100-BE81)*100</f>
        <v>0</v>
      </c>
      <c r="BE81" s="51">
        <v>0</v>
      </c>
      <c r="BF81" s="51">
        <f>81</f>
        <v>81</v>
      </c>
      <c r="BH81" s="51">
        <f>F81*AO81</f>
        <v>0</v>
      </c>
      <c r="BI81" s="51">
        <f>F81*AP81</f>
        <v>0</v>
      </c>
      <c r="BJ81" s="51">
        <f>F81*G81</f>
        <v>0</v>
      </c>
      <c r="BK81" s="53" t="s">
        <v>118</v>
      </c>
      <c r="BL81" s="51">
        <v>95</v>
      </c>
      <c r="BW81" s="51">
        <v>12</v>
      </c>
      <c r="BX81" s="3" t="s">
        <v>250</v>
      </c>
    </row>
    <row r="82" spans="1:76">
      <c r="A82" s="1" t="s">
        <v>251</v>
      </c>
      <c r="B82" s="2" t="s">
        <v>252</v>
      </c>
      <c r="C82" s="75" t="s">
        <v>253</v>
      </c>
      <c r="D82" s="70"/>
      <c r="E82" s="2" t="s">
        <v>114</v>
      </c>
      <c r="F82" s="51">
        <v>1</v>
      </c>
      <c r="G82" s="52">
        <v>0</v>
      </c>
      <c r="H82" s="51">
        <f>ROUND(F82*G82,2)</f>
        <v>0</v>
      </c>
      <c r="J82" s="41"/>
      <c r="Z82" s="51">
        <f>ROUND(IF(AQ82="5",BJ82,0),2)</f>
        <v>0</v>
      </c>
      <c r="AB82" s="51">
        <f>ROUND(IF(AQ82="1",BH82,0),2)</f>
        <v>0</v>
      </c>
      <c r="AC82" s="51">
        <f>ROUND(IF(AQ82="1",BI82,0),2)</f>
        <v>0</v>
      </c>
      <c r="AD82" s="51">
        <f>ROUND(IF(AQ82="7",BH82,0),2)</f>
        <v>0</v>
      </c>
      <c r="AE82" s="51">
        <f>ROUND(IF(AQ82="7",BI82,0),2)</f>
        <v>0</v>
      </c>
      <c r="AF82" s="51">
        <f>ROUND(IF(AQ82="2",BH82,0),2)</f>
        <v>0</v>
      </c>
      <c r="AG82" s="51">
        <f>ROUND(IF(AQ82="2",BI82,0),2)</f>
        <v>0</v>
      </c>
      <c r="AH82" s="51">
        <f>ROUND(IF(AQ82="0",BJ82,0),2)</f>
        <v>0</v>
      </c>
      <c r="AI82" s="35" t="s">
        <v>4</v>
      </c>
      <c r="AJ82" s="51">
        <f>IF(AN82=0,H82,0)</f>
        <v>0</v>
      </c>
      <c r="AK82" s="51">
        <f>IF(AN82=12,H82,0)</f>
        <v>0</v>
      </c>
      <c r="AL82" s="51">
        <f>IF(AN82=21,H82,0)</f>
        <v>0</v>
      </c>
      <c r="AN82" s="51">
        <v>12</v>
      </c>
      <c r="AO82" s="51">
        <f>G82*0.907570482</f>
        <v>0</v>
      </c>
      <c r="AP82" s="51">
        <f>G82*(1-0.907570482)</f>
        <v>0</v>
      </c>
      <c r="AQ82" s="53" t="s">
        <v>111</v>
      </c>
      <c r="AV82" s="51">
        <f>ROUND(AW82+AX82,2)</f>
        <v>0</v>
      </c>
      <c r="AW82" s="51">
        <f>ROUND(F82*AO82,2)</f>
        <v>0</v>
      </c>
      <c r="AX82" s="51">
        <f>ROUND(F82*AP82,2)</f>
        <v>0</v>
      </c>
      <c r="AY82" s="53" t="s">
        <v>241</v>
      </c>
      <c r="AZ82" s="53" t="s">
        <v>242</v>
      </c>
      <c r="BA82" s="35" t="s">
        <v>117</v>
      </c>
      <c r="BC82" s="51">
        <f>AW82+AX82</f>
        <v>0</v>
      </c>
      <c r="BD82" s="51">
        <f>G82/(100-BE82)*100</f>
        <v>0</v>
      </c>
      <c r="BE82" s="51">
        <v>0</v>
      </c>
      <c r="BF82" s="51">
        <f>82</f>
        <v>82</v>
      </c>
      <c r="BH82" s="51">
        <f>F82*AO82</f>
        <v>0</v>
      </c>
      <c r="BI82" s="51">
        <f>F82*AP82</f>
        <v>0</v>
      </c>
      <c r="BJ82" s="51">
        <f>F82*G82</f>
        <v>0</v>
      </c>
      <c r="BK82" s="53" t="s">
        <v>118</v>
      </c>
      <c r="BL82" s="51">
        <v>95</v>
      </c>
      <c r="BW82" s="51">
        <v>12</v>
      </c>
      <c r="BX82" s="3" t="s">
        <v>253</v>
      </c>
    </row>
    <row r="83" spans="1:76" ht="13.5" customHeight="1">
      <c r="A83" s="54"/>
      <c r="B83" s="55" t="s">
        <v>119</v>
      </c>
      <c r="C83" s="152" t="s">
        <v>254</v>
      </c>
      <c r="D83" s="153"/>
      <c r="E83" s="153"/>
      <c r="F83" s="153"/>
      <c r="G83" s="154"/>
      <c r="H83" s="153"/>
      <c r="I83" s="153"/>
      <c r="J83" s="155"/>
    </row>
    <row r="84" spans="1:76">
      <c r="A84" s="1" t="s">
        <v>255</v>
      </c>
      <c r="B84" s="2" t="s">
        <v>256</v>
      </c>
      <c r="C84" s="75" t="s">
        <v>257</v>
      </c>
      <c r="D84" s="70"/>
      <c r="E84" s="2" t="s">
        <v>258</v>
      </c>
      <c r="F84" s="51">
        <v>5</v>
      </c>
      <c r="G84" s="52">
        <v>0</v>
      </c>
      <c r="H84" s="51">
        <f>ROUND(F84*G84,2)</f>
        <v>0</v>
      </c>
      <c r="J84" s="41"/>
      <c r="Z84" s="51">
        <f>ROUND(IF(AQ84="5",BJ84,0),2)</f>
        <v>0</v>
      </c>
      <c r="AB84" s="51">
        <f>ROUND(IF(AQ84="1",BH84,0),2)</f>
        <v>0</v>
      </c>
      <c r="AC84" s="51">
        <f>ROUND(IF(AQ84="1",BI84,0),2)</f>
        <v>0</v>
      </c>
      <c r="AD84" s="51">
        <f>ROUND(IF(AQ84="7",BH84,0),2)</f>
        <v>0</v>
      </c>
      <c r="AE84" s="51">
        <f>ROUND(IF(AQ84="7",BI84,0),2)</f>
        <v>0</v>
      </c>
      <c r="AF84" s="51">
        <f>ROUND(IF(AQ84="2",BH84,0),2)</f>
        <v>0</v>
      </c>
      <c r="AG84" s="51">
        <f>ROUND(IF(AQ84="2",BI84,0),2)</f>
        <v>0</v>
      </c>
      <c r="AH84" s="51">
        <f>ROUND(IF(AQ84="0",BJ84,0),2)</f>
        <v>0</v>
      </c>
      <c r="AI84" s="35" t="s">
        <v>4</v>
      </c>
      <c r="AJ84" s="51">
        <f>IF(AN84=0,H84,0)</f>
        <v>0</v>
      </c>
      <c r="AK84" s="51">
        <f>IF(AN84=12,H84,0)</f>
        <v>0</v>
      </c>
      <c r="AL84" s="51">
        <f>IF(AN84=21,H84,0)</f>
        <v>0</v>
      </c>
      <c r="AN84" s="51">
        <v>12</v>
      </c>
      <c r="AO84" s="51">
        <f>G84*0</f>
        <v>0</v>
      </c>
      <c r="AP84" s="51">
        <f>G84*(1-0)</f>
        <v>0</v>
      </c>
      <c r="AQ84" s="53" t="s">
        <v>111</v>
      </c>
      <c r="AV84" s="51">
        <f>ROUND(AW84+AX84,2)</f>
        <v>0</v>
      </c>
      <c r="AW84" s="51">
        <f>ROUND(F84*AO84,2)</f>
        <v>0</v>
      </c>
      <c r="AX84" s="51">
        <f>ROUND(F84*AP84,2)</f>
        <v>0</v>
      </c>
      <c r="AY84" s="53" t="s">
        <v>241</v>
      </c>
      <c r="AZ84" s="53" t="s">
        <v>242</v>
      </c>
      <c r="BA84" s="35" t="s">
        <v>117</v>
      </c>
      <c r="BC84" s="51">
        <f>AW84+AX84</f>
        <v>0</v>
      </c>
      <c r="BD84" s="51">
        <f>G84/(100-BE84)*100</f>
        <v>0</v>
      </c>
      <c r="BE84" s="51">
        <v>0</v>
      </c>
      <c r="BF84" s="51">
        <f>84</f>
        <v>84</v>
      </c>
      <c r="BH84" s="51">
        <f>F84*AO84</f>
        <v>0</v>
      </c>
      <c r="BI84" s="51">
        <f>F84*AP84</f>
        <v>0</v>
      </c>
      <c r="BJ84" s="51">
        <f>F84*G84</f>
        <v>0</v>
      </c>
      <c r="BK84" s="53" t="s">
        <v>118</v>
      </c>
      <c r="BL84" s="51">
        <v>95</v>
      </c>
      <c r="BW84" s="51">
        <v>12</v>
      </c>
      <c r="BX84" s="3" t="s">
        <v>257</v>
      </c>
    </row>
    <row r="85" spans="1:76">
      <c r="A85" s="54"/>
      <c r="C85" s="56" t="s">
        <v>138</v>
      </c>
      <c r="D85" s="57" t="s">
        <v>259</v>
      </c>
      <c r="F85" s="58">
        <v>5</v>
      </c>
      <c r="J85" s="41"/>
    </row>
    <row r="86" spans="1:76">
      <c r="A86" s="47" t="s">
        <v>4</v>
      </c>
      <c r="B86" s="48" t="s">
        <v>260</v>
      </c>
      <c r="C86" s="150" t="s">
        <v>261</v>
      </c>
      <c r="D86" s="151"/>
      <c r="E86" s="49" t="s">
        <v>79</v>
      </c>
      <c r="F86" s="49" t="s">
        <v>79</v>
      </c>
      <c r="G86" s="50" t="s">
        <v>79</v>
      </c>
      <c r="H86" s="28">
        <f>SUM(H87:H127)</f>
        <v>0</v>
      </c>
      <c r="J86" s="41"/>
      <c r="AI86" s="35" t="s">
        <v>4</v>
      </c>
      <c r="AS86" s="28">
        <f>SUM(AJ87:AJ127)</f>
        <v>0</v>
      </c>
      <c r="AT86" s="28">
        <f>SUM(AK87:AK127)</f>
        <v>0</v>
      </c>
      <c r="AU86" s="28">
        <f>SUM(AL87:AL127)</f>
        <v>0</v>
      </c>
    </row>
    <row r="87" spans="1:76">
      <c r="A87" s="1" t="s">
        <v>262</v>
      </c>
      <c r="B87" s="2" t="s">
        <v>263</v>
      </c>
      <c r="C87" s="75" t="s">
        <v>264</v>
      </c>
      <c r="D87" s="70"/>
      <c r="E87" s="2" t="s">
        <v>125</v>
      </c>
      <c r="F87" s="51">
        <v>12.387</v>
      </c>
      <c r="G87" s="52">
        <v>0</v>
      </c>
      <c r="H87" s="51">
        <f>ROUND(F87*G87,2)</f>
        <v>0</v>
      </c>
      <c r="J87" s="41"/>
      <c r="Z87" s="51">
        <f>ROUND(IF(AQ87="5",BJ87,0),2)</f>
        <v>0</v>
      </c>
      <c r="AB87" s="51">
        <f>ROUND(IF(AQ87="1",BH87,0),2)</f>
        <v>0</v>
      </c>
      <c r="AC87" s="51">
        <f>ROUND(IF(AQ87="1",BI87,0),2)</f>
        <v>0</v>
      </c>
      <c r="AD87" s="51">
        <f>ROUND(IF(AQ87="7",BH87,0),2)</f>
        <v>0</v>
      </c>
      <c r="AE87" s="51">
        <f>ROUND(IF(AQ87="7",BI87,0),2)</f>
        <v>0</v>
      </c>
      <c r="AF87" s="51">
        <f>ROUND(IF(AQ87="2",BH87,0),2)</f>
        <v>0</v>
      </c>
      <c r="AG87" s="51">
        <f>ROUND(IF(AQ87="2",BI87,0),2)</f>
        <v>0</v>
      </c>
      <c r="AH87" s="51">
        <f>ROUND(IF(AQ87="0",BJ87,0),2)</f>
        <v>0</v>
      </c>
      <c r="AI87" s="35" t="s">
        <v>4</v>
      </c>
      <c r="AJ87" s="51">
        <f>IF(AN87=0,H87,0)</f>
        <v>0</v>
      </c>
      <c r="AK87" s="51">
        <f>IF(AN87=12,H87,0)</f>
        <v>0</v>
      </c>
      <c r="AL87" s="51">
        <f>IF(AN87=21,H87,0)</f>
        <v>0</v>
      </c>
      <c r="AN87" s="51">
        <v>12</v>
      </c>
      <c r="AO87" s="51">
        <f>G87*0.087720321</f>
        <v>0</v>
      </c>
      <c r="AP87" s="51">
        <f>G87*(1-0.087720321)</f>
        <v>0</v>
      </c>
      <c r="AQ87" s="53" t="s">
        <v>111</v>
      </c>
      <c r="AV87" s="51">
        <f>ROUND(AW87+AX87,2)</f>
        <v>0</v>
      </c>
      <c r="AW87" s="51">
        <f>ROUND(F87*AO87,2)</f>
        <v>0</v>
      </c>
      <c r="AX87" s="51">
        <f>ROUND(F87*AP87,2)</f>
        <v>0</v>
      </c>
      <c r="AY87" s="53" t="s">
        <v>265</v>
      </c>
      <c r="AZ87" s="53" t="s">
        <v>242</v>
      </c>
      <c r="BA87" s="35" t="s">
        <v>117</v>
      </c>
      <c r="BC87" s="51">
        <f>AW87+AX87</f>
        <v>0</v>
      </c>
      <c r="BD87" s="51">
        <f>G87/(100-BE87)*100</f>
        <v>0</v>
      </c>
      <c r="BE87" s="51">
        <v>0</v>
      </c>
      <c r="BF87" s="51">
        <f>87</f>
        <v>87</v>
      </c>
      <c r="BH87" s="51">
        <f>F87*AO87</f>
        <v>0</v>
      </c>
      <c r="BI87" s="51">
        <f>F87*AP87</f>
        <v>0</v>
      </c>
      <c r="BJ87" s="51">
        <f>F87*G87</f>
        <v>0</v>
      </c>
      <c r="BK87" s="53" t="s">
        <v>118</v>
      </c>
      <c r="BL87" s="51">
        <v>96</v>
      </c>
      <c r="BW87" s="51">
        <v>12</v>
      </c>
      <c r="BX87" s="3" t="s">
        <v>264</v>
      </c>
    </row>
    <row r="88" spans="1:76">
      <c r="A88" s="54"/>
      <c r="C88" s="56" t="s">
        <v>126</v>
      </c>
      <c r="D88" s="57" t="s">
        <v>4</v>
      </c>
      <c r="F88" s="58">
        <v>15.587</v>
      </c>
      <c r="J88" s="41"/>
    </row>
    <row r="89" spans="1:76">
      <c r="A89" s="54"/>
      <c r="C89" s="56" t="s">
        <v>127</v>
      </c>
      <c r="D89" s="57" t="s">
        <v>4</v>
      </c>
      <c r="F89" s="58">
        <v>-3.2</v>
      </c>
      <c r="J89" s="41"/>
    </row>
    <row r="90" spans="1:76">
      <c r="A90" s="1" t="s">
        <v>266</v>
      </c>
      <c r="B90" s="2" t="s">
        <v>267</v>
      </c>
      <c r="C90" s="75" t="s">
        <v>268</v>
      </c>
      <c r="D90" s="70"/>
      <c r="E90" s="2" t="s">
        <v>114</v>
      </c>
      <c r="F90" s="51">
        <v>3</v>
      </c>
      <c r="G90" s="52">
        <v>0</v>
      </c>
      <c r="H90" s="51">
        <f>ROUND(F90*G90,2)</f>
        <v>0</v>
      </c>
      <c r="J90" s="41"/>
      <c r="Z90" s="51">
        <f>ROUND(IF(AQ90="5",BJ90,0),2)</f>
        <v>0</v>
      </c>
      <c r="AB90" s="51">
        <f>ROUND(IF(AQ90="1",BH90,0),2)</f>
        <v>0</v>
      </c>
      <c r="AC90" s="51">
        <f>ROUND(IF(AQ90="1",BI90,0),2)</f>
        <v>0</v>
      </c>
      <c r="AD90" s="51">
        <f>ROUND(IF(AQ90="7",BH90,0),2)</f>
        <v>0</v>
      </c>
      <c r="AE90" s="51">
        <f>ROUND(IF(AQ90="7",BI90,0),2)</f>
        <v>0</v>
      </c>
      <c r="AF90" s="51">
        <f>ROUND(IF(AQ90="2",BH90,0),2)</f>
        <v>0</v>
      </c>
      <c r="AG90" s="51">
        <f>ROUND(IF(AQ90="2",BI90,0),2)</f>
        <v>0</v>
      </c>
      <c r="AH90" s="51">
        <f>ROUND(IF(AQ90="0",BJ90,0),2)</f>
        <v>0</v>
      </c>
      <c r="AI90" s="35" t="s">
        <v>4</v>
      </c>
      <c r="AJ90" s="51">
        <f>IF(AN90=0,H90,0)</f>
        <v>0</v>
      </c>
      <c r="AK90" s="51">
        <f>IF(AN90=12,H90,0)</f>
        <v>0</v>
      </c>
      <c r="AL90" s="51">
        <f>IF(AN90=21,H90,0)</f>
        <v>0</v>
      </c>
      <c r="AN90" s="51">
        <v>12</v>
      </c>
      <c r="AO90" s="51">
        <f>G90*0</f>
        <v>0</v>
      </c>
      <c r="AP90" s="51">
        <f>G90*(1-0)</f>
        <v>0</v>
      </c>
      <c r="AQ90" s="53" t="s">
        <v>111</v>
      </c>
      <c r="AV90" s="51">
        <f>ROUND(AW90+AX90,2)</f>
        <v>0</v>
      </c>
      <c r="AW90" s="51">
        <f>ROUND(F90*AO90,2)</f>
        <v>0</v>
      </c>
      <c r="AX90" s="51">
        <f>ROUND(F90*AP90,2)</f>
        <v>0</v>
      </c>
      <c r="AY90" s="53" t="s">
        <v>265</v>
      </c>
      <c r="AZ90" s="53" t="s">
        <v>242</v>
      </c>
      <c r="BA90" s="35" t="s">
        <v>117</v>
      </c>
      <c r="BC90" s="51">
        <f>AW90+AX90</f>
        <v>0</v>
      </c>
      <c r="BD90" s="51">
        <f>G90/(100-BE90)*100</f>
        <v>0</v>
      </c>
      <c r="BE90" s="51">
        <v>0</v>
      </c>
      <c r="BF90" s="51">
        <f>90</f>
        <v>90</v>
      </c>
      <c r="BH90" s="51">
        <f>F90*AO90</f>
        <v>0</v>
      </c>
      <c r="BI90" s="51">
        <f>F90*AP90</f>
        <v>0</v>
      </c>
      <c r="BJ90" s="51">
        <f>F90*G90</f>
        <v>0</v>
      </c>
      <c r="BK90" s="53" t="s">
        <v>118</v>
      </c>
      <c r="BL90" s="51">
        <v>96</v>
      </c>
      <c r="BW90" s="51">
        <v>12</v>
      </c>
      <c r="BX90" s="3" t="s">
        <v>268</v>
      </c>
    </row>
    <row r="91" spans="1:76">
      <c r="A91" s="54"/>
      <c r="C91" s="56" t="s">
        <v>128</v>
      </c>
      <c r="D91" s="57" t="s">
        <v>269</v>
      </c>
      <c r="F91" s="58">
        <v>3</v>
      </c>
      <c r="J91" s="41"/>
    </row>
    <row r="92" spans="1:76">
      <c r="A92" s="1" t="s">
        <v>270</v>
      </c>
      <c r="B92" s="2" t="s">
        <v>271</v>
      </c>
      <c r="C92" s="75" t="s">
        <v>272</v>
      </c>
      <c r="D92" s="70"/>
      <c r="E92" s="2" t="s">
        <v>125</v>
      </c>
      <c r="F92" s="51">
        <v>5.09</v>
      </c>
      <c r="G92" s="52">
        <v>0</v>
      </c>
      <c r="H92" s="51">
        <f>ROUND(F92*G92,2)</f>
        <v>0</v>
      </c>
      <c r="J92" s="41"/>
      <c r="Z92" s="51">
        <f>ROUND(IF(AQ92="5",BJ92,0),2)</f>
        <v>0</v>
      </c>
      <c r="AB92" s="51">
        <f>ROUND(IF(AQ92="1",BH92,0),2)</f>
        <v>0</v>
      </c>
      <c r="AC92" s="51">
        <f>ROUND(IF(AQ92="1",BI92,0),2)</f>
        <v>0</v>
      </c>
      <c r="AD92" s="51">
        <f>ROUND(IF(AQ92="7",BH92,0),2)</f>
        <v>0</v>
      </c>
      <c r="AE92" s="51">
        <f>ROUND(IF(AQ92="7",BI92,0),2)</f>
        <v>0</v>
      </c>
      <c r="AF92" s="51">
        <f>ROUND(IF(AQ92="2",BH92,0),2)</f>
        <v>0</v>
      </c>
      <c r="AG92" s="51">
        <f>ROUND(IF(AQ92="2",BI92,0),2)</f>
        <v>0</v>
      </c>
      <c r="AH92" s="51">
        <f>ROUND(IF(AQ92="0",BJ92,0),2)</f>
        <v>0</v>
      </c>
      <c r="AI92" s="35" t="s">
        <v>4</v>
      </c>
      <c r="AJ92" s="51">
        <f>IF(AN92=0,H92,0)</f>
        <v>0</v>
      </c>
      <c r="AK92" s="51">
        <f>IF(AN92=12,H92,0)</f>
        <v>0</v>
      </c>
      <c r="AL92" s="51">
        <f>IF(AN92=21,H92,0)</f>
        <v>0</v>
      </c>
      <c r="AN92" s="51">
        <v>12</v>
      </c>
      <c r="AO92" s="51">
        <f>G92*0.06090967</f>
        <v>0</v>
      </c>
      <c r="AP92" s="51">
        <f>G92*(1-0.06090967)</f>
        <v>0</v>
      </c>
      <c r="AQ92" s="53" t="s">
        <v>111</v>
      </c>
      <c r="AV92" s="51">
        <f>ROUND(AW92+AX92,2)</f>
        <v>0</v>
      </c>
      <c r="AW92" s="51">
        <f>ROUND(F92*AO92,2)</f>
        <v>0</v>
      </c>
      <c r="AX92" s="51">
        <f>ROUND(F92*AP92,2)</f>
        <v>0</v>
      </c>
      <c r="AY92" s="53" t="s">
        <v>265</v>
      </c>
      <c r="AZ92" s="53" t="s">
        <v>242</v>
      </c>
      <c r="BA92" s="35" t="s">
        <v>117</v>
      </c>
      <c r="BC92" s="51">
        <f>AW92+AX92</f>
        <v>0</v>
      </c>
      <c r="BD92" s="51">
        <f>G92/(100-BE92)*100</f>
        <v>0</v>
      </c>
      <c r="BE92" s="51">
        <v>0</v>
      </c>
      <c r="BF92" s="51">
        <f>92</f>
        <v>92</v>
      </c>
      <c r="BH92" s="51">
        <f>F92*AO92</f>
        <v>0</v>
      </c>
      <c r="BI92" s="51">
        <f>F92*AP92</f>
        <v>0</v>
      </c>
      <c r="BJ92" s="51">
        <f>F92*G92</f>
        <v>0</v>
      </c>
      <c r="BK92" s="53" t="s">
        <v>118</v>
      </c>
      <c r="BL92" s="51">
        <v>96</v>
      </c>
      <c r="BW92" s="51">
        <v>12</v>
      </c>
      <c r="BX92" s="3" t="s">
        <v>272</v>
      </c>
    </row>
    <row r="93" spans="1:76">
      <c r="A93" s="54"/>
      <c r="C93" s="56" t="s">
        <v>273</v>
      </c>
      <c r="D93" s="57" t="s">
        <v>274</v>
      </c>
      <c r="F93" s="58">
        <v>3.2</v>
      </c>
      <c r="J93" s="41"/>
    </row>
    <row r="94" spans="1:76">
      <c r="A94" s="54"/>
      <c r="C94" s="56" t="s">
        <v>275</v>
      </c>
      <c r="D94" s="57" t="s">
        <v>185</v>
      </c>
      <c r="F94" s="58">
        <v>1.89</v>
      </c>
      <c r="J94" s="41"/>
    </row>
    <row r="95" spans="1:76">
      <c r="A95" s="1" t="s">
        <v>276</v>
      </c>
      <c r="B95" s="2" t="s">
        <v>277</v>
      </c>
      <c r="C95" s="75" t="s">
        <v>278</v>
      </c>
      <c r="D95" s="70"/>
      <c r="E95" s="2" t="s">
        <v>125</v>
      </c>
      <c r="F95" s="51">
        <v>2.3199999999999998</v>
      </c>
      <c r="G95" s="52">
        <v>0</v>
      </c>
      <c r="H95" s="51">
        <f>ROUND(F95*G95,2)</f>
        <v>0</v>
      </c>
      <c r="J95" s="41"/>
      <c r="Z95" s="51">
        <f>ROUND(IF(AQ95="5",BJ95,0),2)</f>
        <v>0</v>
      </c>
      <c r="AB95" s="51">
        <f>ROUND(IF(AQ95="1",BH95,0),2)</f>
        <v>0</v>
      </c>
      <c r="AC95" s="51">
        <f>ROUND(IF(AQ95="1",BI95,0),2)</f>
        <v>0</v>
      </c>
      <c r="AD95" s="51">
        <f>ROUND(IF(AQ95="7",BH95,0),2)</f>
        <v>0</v>
      </c>
      <c r="AE95" s="51">
        <f>ROUND(IF(AQ95="7",BI95,0),2)</f>
        <v>0</v>
      </c>
      <c r="AF95" s="51">
        <f>ROUND(IF(AQ95="2",BH95,0),2)</f>
        <v>0</v>
      </c>
      <c r="AG95" s="51">
        <f>ROUND(IF(AQ95="2",BI95,0),2)</f>
        <v>0</v>
      </c>
      <c r="AH95" s="51">
        <f>ROUND(IF(AQ95="0",BJ95,0),2)</f>
        <v>0</v>
      </c>
      <c r="AI95" s="35" t="s">
        <v>4</v>
      </c>
      <c r="AJ95" s="51">
        <f>IF(AN95=0,H95,0)</f>
        <v>0</v>
      </c>
      <c r="AK95" s="51">
        <f>IF(AN95=12,H95,0)</f>
        <v>0</v>
      </c>
      <c r="AL95" s="51">
        <f>IF(AN95=21,H95,0)</f>
        <v>0</v>
      </c>
      <c r="AN95" s="51">
        <v>12</v>
      </c>
      <c r="AO95" s="51">
        <f>G95*0</f>
        <v>0</v>
      </c>
      <c r="AP95" s="51">
        <f>G95*(1-0)</f>
        <v>0</v>
      </c>
      <c r="AQ95" s="53" t="s">
        <v>111</v>
      </c>
      <c r="AV95" s="51">
        <f>ROUND(AW95+AX95,2)</f>
        <v>0</v>
      </c>
      <c r="AW95" s="51">
        <f>ROUND(F95*AO95,2)</f>
        <v>0</v>
      </c>
      <c r="AX95" s="51">
        <f>ROUND(F95*AP95,2)</f>
        <v>0</v>
      </c>
      <c r="AY95" s="53" t="s">
        <v>265</v>
      </c>
      <c r="AZ95" s="53" t="s">
        <v>242</v>
      </c>
      <c r="BA95" s="35" t="s">
        <v>117</v>
      </c>
      <c r="BC95" s="51">
        <f>AW95+AX95</f>
        <v>0</v>
      </c>
      <c r="BD95" s="51">
        <f>G95/(100-BE95)*100</f>
        <v>0</v>
      </c>
      <c r="BE95" s="51">
        <v>0</v>
      </c>
      <c r="BF95" s="51">
        <f>95</f>
        <v>95</v>
      </c>
      <c r="BH95" s="51">
        <f>F95*AO95</f>
        <v>0</v>
      </c>
      <c r="BI95" s="51">
        <f>F95*AP95</f>
        <v>0</v>
      </c>
      <c r="BJ95" s="51">
        <f>F95*G95</f>
        <v>0</v>
      </c>
      <c r="BK95" s="53" t="s">
        <v>118</v>
      </c>
      <c r="BL95" s="51">
        <v>96</v>
      </c>
      <c r="BW95" s="51">
        <v>12</v>
      </c>
      <c r="BX95" s="3" t="s">
        <v>278</v>
      </c>
    </row>
    <row r="96" spans="1:76">
      <c r="A96" s="54"/>
      <c r="C96" s="56" t="s">
        <v>279</v>
      </c>
      <c r="D96" s="57" t="s">
        <v>185</v>
      </c>
      <c r="F96" s="58">
        <v>2.3199999999999998</v>
      </c>
      <c r="J96" s="41"/>
    </row>
    <row r="97" spans="1:76">
      <c r="A97" s="1" t="s">
        <v>280</v>
      </c>
      <c r="B97" s="2" t="s">
        <v>281</v>
      </c>
      <c r="C97" s="75" t="s">
        <v>282</v>
      </c>
      <c r="D97" s="70"/>
      <c r="E97" s="2" t="s">
        <v>135</v>
      </c>
      <c r="F97" s="51">
        <v>3</v>
      </c>
      <c r="G97" s="52">
        <v>0</v>
      </c>
      <c r="H97" s="51">
        <f>ROUND(F97*G97,2)</f>
        <v>0</v>
      </c>
      <c r="J97" s="41"/>
      <c r="Z97" s="51">
        <f>ROUND(IF(AQ97="5",BJ97,0),2)</f>
        <v>0</v>
      </c>
      <c r="AB97" s="51">
        <f>ROUND(IF(AQ97="1",BH97,0),2)</f>
        <v>0</v>
      </c>
      <c r="AC97" s="51">
        <f>ROUND(IF(AQ97="1",BI97,0),2)</f>
        <v>0</v>
      </c>
      <c r="AD97" s="51">
        <f>ROUND(IF(AQ97="7",BH97,0),2)</f>
        <v>0</v>
      </c>
      <c r="AE97" s="51">
        <f>ROUND(IF(AQ97="7",BI97,0),2)</f>
        <v>0</v>
      </c>
      <c r="AF97" s="51">
        <f>ROUND(IF(AQ97="2",BH97,0),2)</f>
        <v>0</v>
      </c>
      <c r="AG97" s="51">
        <f>ROUND(IF(AQ97="2",BI97,0),2)</f>
        <v>0</v>
      </c>
      <c r="AH97" s="51">
        <f>ROUND(IF(AQ97="0",BJ97,0),2)</f>
        <v>0</v>
      </c>
      <c r="AI97" s="35" t="s">
        <v>4</v>
      </c>
      <c r="AJ97" s="51">
        <f>IF(AN97=0,H97,0)</f>
        <v>0</v>
      </c>
      <c r="AK97" s="51">
        <f>IF(AN97=12,H97,0)</f>
        <v>0</v>
      </c>
      <c r="AL97" s="51">
        <f>IF(AN97=21,H97,0)</f>
        <v>0</v>
      </c>
      <c r="AN97" s="51">
        <v>12</v>
      </c>
      <c r="AO97" s="51">
        <f>G97*0</f>
        <v>0</v>
      </c>
      <c r="AP97" s="51">
        <f>G97*(1-0)</f>
        <v>0</v>
      </c>
      <c r="AQ97" s="53" t="s">
        <v>111</v>
      </c>
      <c r="AV97" s="51">
        <f>ROUND(AW97+AX97,2)</f>
        <v>0</v>
      </c>
      <c r="AW97" s="51">
        <f>ROUND(F97*AO97,2)</f>
        <v>0</v>
      </c>
      <c r="AX97" s="51">
        <f>ROUND(F97*AP97,2)</f>
        <v>0</v>
      </c>
      <c r="AY97" s="53" t="s">
        <v>265</v>
      </c>
      <c r="AZ97" s="53" t="s">
        <v>242</v>
      </c>
      <c r="BA97" s="35" t="s">
        <v>117</v>
      </c>
      <c r="BC97" s="51">
        <f>AW97+AX97</f>
        <v>0</v>
      </c>
      <c r="BD97" s="51">
        <f>G97/(100-BE97)*100</f>
        <v>0</v>
      </c>
      <c r="BE97" s="51">
        <v>0</v>
      </c>
      <c r="BF97" s="51">
        <f>97</f>
        <v>97</v>
      </c>
      <c r="BH97" s="51">
        <f>F97*AO97</f>
        <v>0</v>
      </c>
      <c r="BI97" s="51">
        <f>F97*AP97</f>
        <v>0</v>
      </c>
      <c r="BJ97" s="51">
        <f>F97*G97</f>
        <v>0</v>
      </c>
      <c r="BK97" s="53" t="s">
        <v>118</v>
      </c>
      <c r="BL97" s="51">
        <v>96</v>
      </c>
      <c r="BW97" s="51">
        <v>12</v>
      </c>
      <c r="BX97" s="3" t="s">
        <v>282</v>
      </c>
    </row>
    <row r="98" spans="1:76">
      <c r="A98" s="54"/>
      <c r="C98" s="56" t="s">
        <v>222</v>
      </c>
      <c r="D98" s="57" t="s">
        <v>4</v>
      </c>
      <c r="F98" s="58">
        <v>3</v>
      </c>
      <c r="J98" s="41"/>
    </row>
    <row r="99" spans="1:76">
      <c r="A99" s="1" t="s">
        <v>283</v>
      </c>
      <c r="B99" s="2" t="s">
        <v>284</v>
      </c>
      <c r="C99" s="75" t="s">
        <v>285</v>
      </c>
      <c r="D99" s="70"/>
      <c r="E99" s="2" t="s">
        <v>125</v>
      </c>
      <c r="F99" s="51">
        <v>28.75</v>
      </c>
      <c r="G99" s="52">
        <v>0</v>
      </c>
      <c r="H99" s="51">
        <f>ROUND(F99*G99,2)</f>
        <v>0</v>
      </c>
      <c r="J99" s="41"/>
      <c r="Z99" s="51">
        <f>ROUND(IF(AQ99="5",BJ99,0),2)</f>
        <v>0</v>
      </c>
      <c r="AB99" s="51">
        <f>ROUND(IF(AQ99="1",BH99,0),2)</f>
        <v>0</v>
      </c>
      <c r="AC99" s="51">
        <f>ROUND(IF(AQ99="1",BI99,0),2)</f>
        <v>0</v>
      </c>
      <c r="AD99" s="51">
        <f>ROUND(IF(AQ99="7",BH99,0),2)</f>
        <v>0</v>
      </c>
      <c r="AE99" s="51">
        <f>ROUND(IF(AQ99="7",BI99,0),2)</f>
        <v>0</v>
      </c>
      <c r="AF99" s="51">
        <f>ROUND(IF(AQ99="2",BH99,0),2)</f>
        <v>0</v>
      </c>
      <c r="AG99" s="51">
        <f>ROUND(IF(AQ99="2",BI99,0),2)</f>
        <v>0</v>
      </c>
      <c r="AH99" s="51">
        <f>ROUND(IF(AQ99="0",BJ99,0),2)</f>
        <v>0</v>
      </c>
      <c r="AI99" s="35" t="s">
        <v>4</v>
      </c>
      <c r="AJ99" s="51">
        <f>IF(AN99=0,H99,0)</f>
        <v>0</v>
      </c>
      <c r="AK99" s="51">
        <f>IF(AN99=12,H99,0)</f>
        <v>0</v>
      </c>
      <c r="AL99" s="51">
        <f>IF(AN99=21,H99,0)</f>
        <v>0</v>
      </c>
      <c r="AN99" s="51">
        <v>12</v>
      </c>
      <c r="AO99" s="51">
        <f>G99*0</f>
        <v>0</v>
      </c>
      <c r="AP99" s="51">
        <f>G99*(1-0)</f>
        <v>0</v>
      </c>
      <c r="AQ99" s="53" t="s">
        <v>111</v>
      </c>
      <c r="AV99" s="51">
        <f>ROUND(AW99+AX99,2)</f>
        <v>0</v>
      </c>
      <c r="AW99" s="51">
        <f>ROUND(F99*AO99,2)</f>
        <v>0</v>
      </c>
      <c r="AX99" s="51">
        <f>ROUND(F99*AP99,2)</f>
        <v>0</v>
      </c>
      <c r="AY99" s="53" t="s">
        <v>265</v>
      </c>
      <c r="AZ99" s="53" t="s">
        <v>242</v>
      </c>
      <c r="BA99" s="35" t="s">
        <v>117</v>
      </c>
      <c r="BC99" s="51">
        <f>AW99+AX99</f>
        <v>0</v>
      </c>
      <c r="BD99" s="51">
        <f>G99/(100-BE99)*100</f>
        <v>0</v>
      </c>
      <c r="BE99" s="51">
        <v>0</v>
      </c>
      <c r="BF99" s="51">
        <f>99</f>
        <v>99</v>
      </c>
      <c r="BH99" s="51">
        <f>F99*AO99</f>
        <v>0</v>
      </c>
      <c r="BI99" s="51">
        <f>F99*AP99</f>
        <v>0</v>
      </c>
      <c r="BJ99" s="51">
        <f>F99*G99</f>
        <v>0</v>
      </c>
      <c r="BK99" s="53" t="s">
        <v>118</v>
      </c>
      <c r="BL99" s="51">
        <v>96</v>
      </c>
      <c r="BW99" s="51">
        <v>12</v>
      </c>
      <c r="BX99" s="3" t="s">
        <v>285</v>
      </c>
    </row>
    <row r="100" spans="1:76">
      <c r="A100" s="54"/>
      <c r="C100" s="56" t="s">
        <v>152</v>
      </c>
      <c r="D100" s="57" t="s">
        <v>4</v>
      </c>
      <c r="F100" s="58">
        <v>28.75</v>
      </c>
      <c r="J100" s="41"/>
    </row>
    <row r="101" spans="1:76">
      <c r="A101" s="1" t="s">
        <v>286</v>
      </c>
      <c r="B101" s="2" t="s">
        <v>287</v>
      </c>
      <c r="C101" s="75" t="s">
        <v>288</v>
      </c>
      <c r="D101" s="70"/>
      <c r="E101" s="2" t="s">
        <v>125</v>
      </c>
      <c r="F101" s="51">
        <v>67.259</v>
      </c>
      <c r="G101" s="52">
        <v>0</v>
      </c>
      <c r="H101" s="51">
        <f>ROUND(F101*G101,2)</f>
        <v>0</v>
      </c>
      <c r="J101" s="41"/>
      <c r="Z101" s="51">
        <f>ROUND(IF(AQ101="5",BJ101,0),2)</f>
        <v>0</v>
      </c>
      <c r="AB101" s="51">
        <f>ROUND(IF(AQ101="1",BH101,0),2)</f>
        <v>0</v>
      </c>
      <c r="AC101" s="51">
        <f>ROUND(IF(AQ101="1",BI101,0),2)</f>
        <v>0</v>
      </c>
      <c r="AD101" s="51">
        <f>ROUND(IF(AQ101="7",BH101,0),2)</f>
        <v>0</v>
      </c>
      <c r="AE101" s="51">
        <f>ROUND(IF(AQ101="7",BI101,0),2)</f>
        <v>0</v>
      </c>
      <c r="AF101" s="51">
        <f>ROUND(IF(AQ101="2",BH101,0),2)</f>
        <v>0</v>
      </c>
      <c r="AG101" s="51">
        <f>ROUND(IF(AQ101="2",BI101,0),2)</f>
        <v>0</v>
      </c>
      <c r="AH101" s="51">
        <f>ROUND(IF(AQ101="0",BJ101,0),2)</f>
        <v>0</v>
      </c>
      <c r="AI101" s="35" t="s">
        <v>4</v>
      </c>
      <c r="AJ101" s="51">
        <f>IF(AN101=0,H101,0)</f>
        <v>0</v>
      </c>
      <c r="AK101" s="51">
        <f>IF(AN101=12,H101,0)</f>
        <v>0</v>
      </c>
      <c r="AL101" s="51">
        <f>IF(AN101=21,H101,0)</f>
        <v>0</v>
      </c>
      <c r="AN101" s="51">
        <v>12</v>
      </c>
      <c r="AO101" s="51">
        <f>G101*0</f>
        <v>0</v>
      </c>
      <c r="AP101" s="51">
        <f>G101*(1-0)</f>
        <v>0</v>
      </c>
      <c r="AQ101" s="53" t="s">
        <v>111</v>
      </c>
      <c r="AV101" s="51">
        <f>ROUND(AW101+AX101,2)</f>
        <v>0</v>
      </c>
      <c r="AW101" s="51">
        <f>ROUND(F101*AO101,2)</f>
        <v>0</v>
      </c>
      <c r="AX101" s="51">
        <f>ROUND(F101*AP101,2)</f>
        <v>0</v>
      </c>
      <c r="AY101" s="53" t="s">
        <v>265</v>
      </c>
      <c r="AZ101" s="53" t="s">
        <v>242</v>
      </c>
      <c r="BA101" s="35" t="s">
        <v>117</v>
      </c>
      <c r="BC101" s="51">
        <f>AW101+AX101</f>
        <v>0</v>
      </c>
      <c r="BD101" s="51">
        <f>G101/(100-BE101)*100</f>
        <v>0</v>
      </c>
      <c r="BE101" s="51">
        <v>0</v>
      </c>
      <c r="BF101" s="51">
        <f>101</f>
        <v>101</v>
      </c>
      <c r="BH101" s="51">
        <f>F101*AO101</f>
        <v>0</v>
      </c>
      <c r="BI101" s="51">
        <f>F101*AP101</f>
        <v>0</v>
      </c>
      <c r="BJ101" s="51">
        <f>F101*G101</f>
        <v>0</v>
      </c>
      <c r="BK101" s="53" t="s">
        <v>118</v>
      </c>
      <c r="BL101" s="51">
        <v>96</v>
      </c>
      <c r="BW101" s="51">
        <v>12</v>
      </c>
      <c r="BX101" s="3" t="s">
        <v>288</v>
      </c>
    </row>
    <row r="102" spans="1:76">
      <c r="A102" s="54"/>
      <c r="C102" s="56" t="s">
        <v>201</v>
      </c>
      <c r="D102" s="57" t="s">
        <v>202</v>
      </c>
      <c r="F102" s="58">
        <v>13.114000000000001</v>
      </c>
      <c r="J102" s="41"/>
    </row>
    <row r="103" spans="1:76">
      <c r="A103" s="54"/>
      <c r="C103" s="56" t="s">
        <v>289</v>
      </c>
      <c r="D103" s="57" t="s">
        <v>185</v>
      </c>
      <c r="F103" s="58">
        <v>5.16</v>
      </c>
      <c r="J103" s="41"/>
    </row>
    <row r="104" spans="1:76">
      <c r="A104" s="54"/>
      <c r="C104" s="56" t="s">
        <v>290</v>
      </c>
      <c r="D104" s="57" t="s">
        <v>207</v>
      </c>
      <c r="F104" s="58">
        <v>18.190000000000001</v>
      </c>
      <c r="J104" s="41"/>
    </row>
    <row r="105" spans="1:76">
      <c r="A105" s="54"/>
      <c r="C105" s="56" t="s">
        <v>209</v>
      </c>
      <c r="D105" s="57" t="s">
        <v>210</v>
      </c>
      <c r="F105" s="58">
        <v>27.225000000000001</v>
      </c>
      <c r="J105" s="41"/>
    </row>
    <row r="106" spans="1:76">
      <c r="A106" s="54"/>
      <c r="C106" s="56" t="s">
        <v>214</v>
      </c>
      <c r="D106" s="57" t="s">
        <v>291</v>
      </c>
      <c r="F106" s="58">
        <v>1.68</v>
      </c>
      <c r="J106" s="41"/>
    </row>
    <row r="107" spans="1:76">
      <c r="A107" s="54"/>
      <c r="C107" s="56" t="s">
        <v>216</v>
      </c>
      <c r="D107" s="57" t="s">
        <v>4</v>
      </c>
      <c r="F107" s="58">
        <v>1.89</v>
      </c>
      <c r="J107" s="41"/>
    </row>
    <row r="108" spans="1:76">
      <c r="A108" s="1" t="s">
        <v>292</v>
      </c>
      <c r="B108" s="2" t="s">
        <v>293</v>
      </c>
      <c r="C108" s="75" t="s">
        <v>294</v>
      </c>
      <c r="D108" s="70"/>
      <c r="E108" s="2" t="s">
        <v>125</v>
      </c>
      <c r="F108" s="51">
        <v>11.21</v>
      </c>
      <c r="G108" s="52">
        <v>0</v>
      </c>
      <c r="H108" s="51">
        <f>ROUND(F108*G108,2)</f>
        <v>0</v>
      </c>
      <c r="J108" s="41"/>
      <c r="Z108" s="51">
        <f>ROUND(IF(AQ108="5",BJ108,0),2)</f>
        <v>0</v>
      </c>
      <c r="AB108" s="51">
        <f>ROUND(IF(AQ108="1",BH108,0),2)</f>
        <v>0</v>
      </c>
      <c r="AC108" s="51">
        <f>ROUND(IF(AQ108="1",BI108,0),2)</f>
        <v>0</v>
      </c>
      <c r="AD108" s="51">
        <f>ROUND(IF(AQ108="7",BH108,0),2)</f>
        <v>0</v>
      </c>
      <c r="AE108" s="51">
        <f>ROUND(IF(AQ108="7",BI108,0),2)</f>
        <v>0</v>
      </c>
      <c r="AF108" s="51">
        <f>ROUND(IF(AQ108="2",BH108,0),2)</f>
        <v>0</v>
      </c>
      <c r="AG108" s="51">
        <f>ROUND(IF(AQ108="2",BI108,0),2)</f>
        <v>0</v>
      </c>
      <c r="AH108" s="51">
        <f>ROUND(IF(AQ108="0",BJ108,0),2)</f>
        <v>0</v>
      </c>
      <c r="AI108" s="35" t="s">
        <v>4</v>
      </c>
      <c r="AJ108" s="51">
        <f>IF(AN108=0,H108,0)</f>
        <v>0</v>
      </c>
      <c r="AK108" s="51">
        <f>IF(AN108=12,H108,0)</f>
        <v>0</v>
      </c>
      <c r="AL108" s="51">
        <f>IF(AN108=21,H108,0)</f>
        <v>0</v>
      </c>
      <c r="AN108" s="51">
        <v>12</v>
      </c>
      <c r="AO108" s="51">
        <f>G108*0</f>
        <v>0</v>
      </c>
      <c r="AP108" s="51">
        <f>G108*(1-0)</f>
        <v>0</v>
      </c>
      <c r="AQ108" s="53" t="s">
        <v>111</v>
      </c>
      <c r="AV108" s="51">
        <f>ROUND(AW108+AX108,2)</f>
        <v>0</v>
      </c>
      <c r="AW108" s="51">
        <f>ROUND(F108*AO108,2)</f>
        <v>0</v>
      </c>
      <c r="AX108" s="51">
        <f>ROUND(F108*AP108,2)</f>
        <v>0</v>
      </c>
      <c r="AY108" s="53" t="s">
        <v>265</v>
      </c>
      <c r="AZ108" s="53" t="s">
        <v>242</v>
      </c>
      <c r="BA108" s="35" t="s">
        <v>117</v>
      </c>
      <c r="BC108" s="51">
        <f>AW108+AX108</f>
        <v>0</v>
      </c>
      <c r="BD108" s="51">
        <f>G108/(100-BE108)*100</f>
        <v>0</v>
      </c>
      <c r="BE108" s="51">
        <v>0</v>
      </c>
      <c r="BF108" s="51">
        <f>108</f>
        <v>108</v>
      </c>
      <c r="BH108" s="51">
        <f>F108*AO108</f>
        <v>0</v>
      </c>
      <c r="BI108" s="51">
        <f>F108*AP108</f>
        <v>0</v>
      </c>
      <c r="BJ108" s="51">
        <f>F108*G108</f>
        <v>0</v>
      </c>
      <c r="BK108" s="53" t="s">
        <v>118</v>
      </c>
      <c r="BL108" s="51">
        <v>96</v>
      </c>
      <c r="BW108" s="51">
        <v>12</v>
      </c>
      <c r="BX108" s="3" t="s">
        <v>294</v>
      </c>
    </row>
    <row r="109" spans="1:76">
      <c r="A109" s="54"/>
      <c r="C109" s="56" t="s">
        <v>295</v>
      </c>
      <c r="D109" s="57" t="s">
        <v>185</v>
      </c>
      <c r="F109" s="58">
        <v>11.21</v>
      </c>
      <c r="J109" s="41"/>
    </row>
    <row r="110" spans="1:76">
      <c r="A110" s="1" t="s">
        <v>109</v>
      </c>
      <c r="B110" s="2" t="s">
        <v>296</v>
      </c>
      <c r="C110" s="75" t="s">
        <v>297</v>
      </c>
      <c r="D110" s="70"/>
      <c r="E110" s="2" t="s">
        <v>125</v>
      </c>
      <c r="F110" s="51">
        <v>8.66</v>
      </c>
      <c r="G110" s="52">
        <v>0</v>
      </c>
      <c r="H110" s="51">
        <f>ROUND(F110*G110,2)</f>
        <v>0</v>
      </c>
      <c r="J110" s="41"/>
      <c r="Z110" s="51">
        <f>ROUND(IF(AQ110="5",BJ110,0),2)</f>
        <v>0</v>
      </c>
      <c r="AB110" s="51">
        <f>ROUND(IF(AQ110="1",BH110,0),2)</f>
        <v>0</v>
      </c>
      <c r="AC110" s="51">
        <f>ROUND(IF(AQ110="1",BI110,0),2)</f>
        <v>0</v>
      </c>
      <c r="AD110" s="51">
        <f>ROUND(IF(AQ110="7",BH110,0),2)</f>
        <v>0</v>
      </c>
      <c r="AE110" s="51">
        <f>ROUND(IF(AQ110="7",BI110,0),2)</f>
        <v>0</v>
      </c>
      <c r="AF110" s="51">
        <f>ROUND(IF(AQ110="2",BH110,0),2)</f>
        <v>0</v>
      </c>
      <c r="AG110" s="51">
        <f>ROUND(IF(AQ110="2",BI110,0),2)</f>
        <v>0</v>
      </c>
      <c r="AH110" s="51">
        <f>ROUND(IF(AQ110="0",BJ110,0),2)</f>
        <v>0</v>
      </c>
      <c r="AI110" s="35" t="s">
        <v>4</v>
      </c>
      <c r="AJ110" s="51">
        <f>IF(AN110=0,H110,0)</f>
        <v>0</v>
      </c>
      <c r="AK110" s="51">
        <f>IF(AN110=12,H110,0)</f>
        <v>0</v>
      </c>
      <c r="AL110" s="51">
        <f>IF(AN110=21,H110,0)</f>
        <v>0</v>
      </c>
      <c r="AN110" s="51">
        <v>12</v>
      </c>
      <c r="AO110" s="51">
        <f>G110*0</f>
        <v>0</v>
      </c>
      <c r="AP110" s="51">
        <f>G110*(1-0)</f>
        <v>0</v>
      </c>
      <c r="AQ110" s="53" t="s">
        <v>111</v>
      </c>
      <c r="AV110" s="51">
        <f>ROUND(AW110+AX110,2)</f>
        <v>0</v>
      </c>
      <c r="AW110" s="51">
        <f>ROUND(F110*AO110,2)</f>
        <v>0</v>
      </c>
      <c r="AX110" s="51">
        <f>ROUND(F110*AP110,2)</f>
        <v>0</v>
      </c>
      <c r="AY110" s="53" t="s">
        <v>265</v>
      </c>
      <c r="AZ110" s="53" t="s">
        <v>242</v>
      </c>
      <c r="BA110" s="35" t="s">
        <v>117</v>
      </c>
      <c r="BC110" s="51">
        <f>AW110+AX110</f>
        <v>0</v>
      </c>
      <c r="BD110" s="51">
        <f>G110/(100-BE110)*100</f>
        <v>0</v>
      </c>
      <c r="BE110" s="51">
        <v>0</v>
      </c>
      <c r="BF110" s="51">
        <f>110</f>
        <v>110</v>
      </c>
      <c r="BH110" s="51">
        <f>F110*AO110</f>
        <v>0</v>
      </c>
      <c r="BI110" s="51">
        <f>F110*AP110</f>
        <v>0</v>
      </c>
      <c r="BJ110" s="51">
        <f>F110*G110</f>
        <v>0</v>
      </c>
      <c r="BK110" s="53" t="s">
        <v>118</v>
      </c>
      <c r="BL110" s="51">
        <v>96</v>
      </c>
      <c r="BW110" s="51">
        <v>12</v>
      </c>
      <c r="BX110" s="3" t="s">
        <v>297</v>
      </c>
    </row>
    <row r="111" spans="1:76">
      <c r="A111" s="54"/>
      <c r="C111" s="56" t="s">
        <v>231</v>
      </c>
      <c r="D111" s="57" t="s">
        <v>207</v>
      </c>
      <c r="F111" s="58">
        <v>8.66</v>
      </c>
      <c r="J111" s="41"/>
    </row>
    <row r="112" spans="1:76">
      <c r="A112" s="1" t="s">
        <v>298</v>
      </c>
      <c r="B112" s="2" t="s">
        <v>299</v>
      </c>
      <c r="C112" s="75" t="s">
        <v>300</v>
      </c>
      <c r="D112" s="70"/>
      <c r="E112" s="2" t="s">
        <v>125</v>
      </c>
      <c r="F112" s="51">
        <v>14.53</v>
      </c>
      <c r="G112" s="52">
        <v>0</v>
      </c>
      <c r="H112" s="51">
        <f>ROUND(F112*G112,2)</f>
        <v>0</v>
      </c>
      <c r="J112" s="41"/>
      <c r="Z112" s="51">
        <f>ROUND(IF(AQ112="5",BJ112,0),2)</f>
        <v>0</v>
      </c>
      <c r="AB112" s="51">
        <f>ROUND(IF(AQ112="1",BH112,0),2)</f>
        <v>0</v>
      </c>
      <c r="AC112" s="51">
        <f>ROUND(IF(AQ112="1",BI112,0),2)</f>
        <v>0</v>
      </c>
      <c r="AD112" s="51">
        <f>ROUND(IF(AQ112="7",BH112,0),2)</f>
        <v>0</v>
      </c>
      <c r="AE112" s="51">
        <f>ROUND(IF(AQ112="7",BI112,0),2)</f>
        <v>0</v>
      </c>
      <c r="AF112" s="51">
        <f>ROUND(IF(AQ112="2",BH112,0),2)</f>
        <v>0</v>
      </c>
      <c r="AG112" s="51">
        <f>ROUND(IF(AQ112="2",BI112,0),2)</f>
        <v>0</v>
      </c>
      <c r="AH112" s="51">
        <f>ROUND(IF(AQ112="0",BJ112,0),2)</f>
        <v>0</v>
      </c>
      <c r="AI112" s="35" t="s">
        <v>4</v>
      </c>
      <c r="AJ112" s="51">
        <f>IF(AN112=0,H112,0)</f>
        <v>0</v>
      </c>
      <c r="AK112" s="51">
        <f>IF(AN112=12,H112,0)</f>
        <v>0</v>
      </c>
      <c r="AL112" s="51">
        <f>IF(AN112=21,H112,0)</f>
        <v>0</v>
      </c>
      <c r="AN112" s="51">
        <v>12</v>
      </c>
      <c r="AO112" s="51">
        <f>G112*0</f>
        <v>0</v>
      </c>
      <c r="AP112" s="51">
        <f>G112*(1-0)</f>
        <v>0</v>
      </c>
      <c r="AQ112" s="53" t="s">
        <v>111</v>
      </c>
      <c r="AV112" s="51">
        <f>ROUND(AW112+AX112,2)</f>
        <v>0</v>
      </c>
      <c r="AW112" s="51">
        <f>ROUND(F112*AO112,2)</f>
        <v>0</v>
      </c>
      <c r="AX112" s="51">
        <f>ROUND(F112*AP112,2)</f>
        <v>0</v>
      </c>
      <c r="AY112" s="53" t="s">
        <v>265</v>
      </c>
      <c r="AZ112" s="53" t="s">
        <v>242</v>
      </c>
      <c r="BA112" s="35" t="s">
        <v>117</v>
      </c>
      <c r="BC112" s="51">
        <f>AW112+AX112</f>
        <v>0</v>
      </c>
      <c r="BD112" s="51">
        <f>G112/(100-BE112)*100</f>
        <v>0</v>
      </c>
      <c r="BE112" s="51">
        <v>0</v>
      </c>
      <c r="BF112" s="51">
        <f>112</f>
        <v>112</v>
      </c>
      <c r="BH112" s="51">
        <f>F112*AO112</f>
        <v>0</v>
      </c>
      <c r="BI112" s="51">
        <f>F112*AP112</f>
        <v>0</v>
      </c>
      <c r="BJ112" s="51">
        <f>F112*G112</f>
        <v>0</v>
      </c>
      <c r="BK112" s="53" t="s">
        <v>118</v>
      </c>
      <c r="BL112" s="51">
        <v>96</v>
      </c>
      <c r="BW112" s="51">
        <v>12</v>
      </c>
      <c r="BX112" s="3" t="s">
        <v>300</v>
      </c>
    </row>
    <row r="113" spans="1:76" ht="13.5" customHeight="1">
      <c r="A113" s="54"/>
      <c r="B113" s="55" t="s">
        <v>119</v>
      </c>
      <c r="C113" s="152" t="s">
        <v>301</v>
      </c>
      <c r="D113" s="153"/>
      <c r="E113" s="153"/>
      <c r="F113" s="153"/>
      <c r="G113" s="154"/>
      <c r="H113" s="153"/>
      <c r="I113" s="153"/>
      <c r="J113" s="155"/>
    </row>
    <row r="114" spans="1:76">
      <c r="A114" s="54"/>
      <c r="C114" s="56" t="s">
        <v>230</v>
      </c>
      <c r="D114" s="57" t="s">
        <v>210</v>
      </c>
      <c r="F114" s="58">
        <v>14.53</v>
      </c>
      <c r="J114" s="41"/>
    </row>
    <row r="115" spans="1:76">
      <c r="A115" s="1" t="s">
        <v>302</v>
      </c>
      <c r="B115" s="2" t="s">
        <v>303</v>
      </c>
      <c r="C115" s="75" t="s">
        <v>304</v>
      </c>
      <c r="D115" s="70"/>
      <c r="E115" s="2" t="s">
        <v>125</v>
      </c>
      <c r="F115" s="51">
        <v>10</v>
      </c>
      <c r="G115" s="52">
        <v>0</v>
      </c>
      <c r="H115" s="51">
        <f>ROUND(F115*G115,2)</f>
        <v>0</v>
      </c>
      <c r="J115" s="41"/>
      <c r="Z115" s="51">
        <f>ROUND(IF(AQ115="5",BJ115,0),2)</f>
        <v>0</v>
      </c>
      <c r="AB115" s="51">
        <f>ROUND(IF(AQ115="1",BH115,0),2)</f>
        <v>0</v>
      </c>
      <c r="AC115" s="51">
        <f>ROUND(IF(AQ115="1",BI115,0),2)</f>
        <v>0</v>
      </c>
      <c r="AD115" s="51">
        <f>ROUND(IF(AQ115="7",BH115,0),2)</f>
        <v>0</v>
      </c>
      <c r="AE115" s="51">
        <f>ROUND(IF(AQ115="7",BI115,0),2)</f>
        <v>0</v>
      </c>
      <c r="AF115" s="51">
        <f>ROUND(IF(AQ115="2",BH115,0),2)</f>
        <v>0</v>
      </c>
      <c r="AG115" s="51">
        <f>ROUND(IF(AQ115="2",BI115,0),2)</f>
        <v>0</v>
      </c>
      <c r="AH115" s="51">
        <f>ROUND(IF(AQ115="0",BJ115,0),2)</f>
        <v>0</v>
      </c>
      <c r="AI115" s="35" t="s">
        <v>4</v>
      </c>
      <c r="AJ115" s="51">
        <f>IF(AN115=0,H115,0)</f>
        <v>0</v>
      </c>
      <c r="AK115" s="51">
        <f>IF(AN115=12,H115,0)</f>
        <v>0</v>
      </c>
      <c r="AL115" s="51">
        <f>IF(AN115=21,H115,0)</f>
        <v>0</v>
      </c>
      <c r="AN115" s="51">
        <v>12</v>
      </c>
      <c r="AO115" s="51">
        <f>G115*0</f>
        <v>0</v>
      </c>
      <c r="AP115" s="51">
        <f>G115*(1-0)</f>
        <v>0</v>
      </c>
      <c r="AQ115" s="53" t="s">
        <v>111</v>
      </c>
      <c r="AV115" s="51">
        <f>ROUND(AW115+AX115,2)</f>
        <v>0</v>
      </c>
      <c r="AW115" s="51">
        <f>ROUND(F115*AO115,2)</f>
        <v>0</v>
      </c>
      <c r="AX115" s="51">
        <f>ROUND(F115*AP115,2)</f>
        <v>0</v>
      </c>
      <c r="AY115" s="53" t="s">
        <v>265</v>
      </c>
      <c r="AZ115" s="53" t="s">
        <v>242</v>
      </c>
      <c r="BA115" s="35" t="s">
        <v>117</v>
      </c>
      <c r="BC115" s="51">
        <f>AW115+AX115</f>
        <v>0</v>
      </c>
      <c r="BD115" s="51">
        <f>G115/(100-BE115)*100</f>
        <v>0</v>
      </c>
      <c r="BE115" s="51">
        <v>0</v>
      </c>
      <c r="BF115" s="51">
        <f>115</f>
        <v>115</v>
      </c>
      <c r="BH115" s="51">
        <f>F115*AO115</f>
        <v>0</v>
      </c>
      <c r="BI115" s="51">
        <f>F115*AP115</f>
        <v>0</v>
      </c>
      <c r="BJ115" s="51">
        <f>F115*G115</f>
        <v>0</v>
      </c>
      <c r="BK115" s="53" t="s">
        <v>118</v>
      </c>
      <c r="BL115" s="51">
        <v>96</v>
      </c>
      <c r="BW115" s="51">
        <v>12</v>
      </c>
      <c r="BX115" s="3" t="s">
        <v>304</v>
      </c>
    </row>
    <row r="116" spans="1:76">
      <c r="A116" s="1" t="s">
        <v>305</v>
      </c>
      <c r="B116" s="2" t="s">
        <v>306</v>
      </c>
      <c r="C116" s="75" t="s">
        <v>307</v>
      </c>
      <c r="D116" s="70"/>
      <c r="E116" s="2" t="s">
        <v>308</v>
      </c>
      <c r="F116" s="51">
        <v>8.1630000000000003</v>
      </c>
      <c r="G116" s="52">
        <v>0</v>
      </c>
      <c r="H116" s="51">
        <f>ROUND(F116*G116,2)</f>
        <v>0</v>
      </c>
      <c r="J116" s="41"/>
      <c r="Z116" s="51">
        <f>ROUND(IF(AQ116="5",BJ116,0),2)</f>
        <v>0</v>
      </c>
      <c r="AB116" s="51">
        <f>ROUND(IF(AQ116="1",BH116,0),2)</f>
        <v>0</v>
      </c>
      <c r="AC116" s="51">
        <f>ROUND(IF(AQ116="1",BI116,0),2)</f>
        <v>0</v>
      </c>
      <c r="AD116" s="51">
        <f>ROUND(IF(AQ116="7",BH116,0),2)</f>
        <v>0</v>
      </c>
      <c r="AE116" s="51">
        <f>ROUND(IF(AQ116="7",BI116,0),2)</f>
        <v>0</v>
      </c>
      <c r="AF116" s="51">
        <f>ROUND(IF(AQ116="2",BH116,0),2)</f>
        <v>0</v>
      </c>
      <c r="AG116" s="51">
        <f>ROUND(IF(AQ116="2",BI116,0),2)</f>
        <v>0</v>
      </c>
      <c r="AH116" s="51">
        <f>ROUND(IF(AQ116="0",BJ116,0),2)</f>
        <v>0</v>
      </c>
      <c r="AI116" s="35" t="s">
        <v>4</v>
      </c>
      <c r="AJ116" s="51">
        <f>IF(AN116=0,H116,0)</f>
        <v>0</v>
      </c>
      <c r="AK116" s="51">
        <f>IF(AN116=12,H116,0)</f>
        <v>0</v>
      </c>
      <c r="AL116" s="51">
        <f>IF(AN116=21,H116,0)</f>
        <v>0</v>
      </c>
      <c r="AN116" s="51">
        <v>12</v>
      </c>
      <c r="AO116" s="51">
        <f>G116*0</f>
        <v>0</v>
      </c>
      <c r="AP116" s="51">
        <f>G116*(1-0)</f>
        <v>0</v>
      </c>
      <c r="AQ116" s="53" t="s">
        <v>138</v>
      </c>
      <c r="AV116" s="51">
        <f>ROUND(AW116+AX116,2)</f>
        <v>0</v>
      </c>
      <c r="AW116" s="51">
        <f>ROUND(F116*AO116,2)</f>
        <v>0</v>
      </c>
      <c r="AX116" s="51">
        <f>ROUND(F116*AP116,2)</f>
        <v>0</v>
      </c>
      <c r="AY116" s="53" t="s">
        <v>265</v>
      </c>
      <c r="AZ116" s="53" t="s">
        <v>242</v>
      </c>
      <c r="BA116" s="35" t="s">
        <v>117</v>
      </c>
      <c r="BC116" s="51">
        <f>AW116+AX116</f>
        <v>0</v>
      </c>
      <c r="BD116" s="51">
        <f>G116/(100-BE116)*100</f>
        <v>0</v>
      </c>
      <c r="BE116" s="51">
        <v>0</v>
      </c>
      <c r="BF116" s="51">
        <f>116</f>
        <v>116</v>
      </c>
      <c r="BH116" s="51">
        <f>F116*AO116</f>
        <v>0</v>
      </c>
      <c r="BI116" s="51">
        <f>F116*AP116</f>
        <v>0</v>
      </c>
      <c r="BJ116" s="51">
        <f>F116*G116</f>
        <v>0</v>
      </c>
      <c r="BK116" s="53" t="s">
        <v>118</v>
      </c>
      <c r="BL116" s="51">
        <v>96</v>
      </c>
      <c r="BW116" s="51">
        <v>12</v>
      </c>
      <c r="BX116" s="3" t="s">
        <v>307</v>
      </c>
    </row>
    <row r="117" spans="1:76">
      <c r="A117" s="1" t="s">
        <v>309</v>
      </c>
      <c r="B117" s="2" t="s">
        <v>310</v>
      </c>
      <c r="C117" s="75" t="s">
        <v>311</v>
      </c>
      <c r="D117" s="70"/>
      <c r="E117" s="2" t="s">
        <v>308</v>
      </c>
      <c r="F117" s="51">
        <v>16.326000000000001</v>
      </c>
      <c r="G117" s="52">
        <v>0</v>
      </c>
      <c r="H117" s="51">
        <f>ROUND(F117*G117,2)</f>
        <v>0</v>
      </c>
      <c r="J117" s="41"/>
      <c r="Z117" s="51">
        <f>ROUND(IF(AQ117="5",BJ117,0),2)</f>
        <v>0</v>
      </c>
      <c r="AB117" s="51">
        <f>ROUND(IF(AQ117="1",BH117,0),2)</f>
        <v>0</v>
      </c>
      <c r="AC117" s="51">
        <f>ROUND(IF(AQ117="1",BI117,0),2)</f>
        <v>0</v>
      </c>
      <c r="AD117" s="51">
        <f>ROUND(IF(AQ117="7",BH117,0),2)</f>
        <v>0</v>
      </c>
      <c r="AE117" s="51">
        <f>ROUND(IF(AQ117="7",BI117,0),2)</f>
        <v>0</v>
      </c>
      <c r="AF117" s="51">
        <f>ROUND(IF(AQ117="2",BH117,0),2)</f>
        <v>0</v>
      </c>
      <c r="AG117" s="51">
        <f>ROUND(IF(AQ117="2",BI117,0),2)</f>
        <v>0</v>
      </c>
      <c r="AH117" s="51">
        <f>ROUND(IF(AQ117="0",BJ117,0),2)</f>
        <v>0</v>
      </c>
      <c r="AI117" s="35" t="s">
        <v>4</v>
      </c>
      <c r="AJ117" s="51">
        <f>IF(AN117=0,H117,0)</f>
        <v>0</v>
      </c>
      <c r="AK117" s="51">
        <f>IF(AN117=12,H117,0)</f>
        <v>0</v>
      </c>
      <c r="AL117" s="51">
        <f>IF(AN117=21,H117,0)</f>
        <v>0</v>
      </c>
      <c r="AN117" s="51">
        <v>12</v>
      </c>
      <c r="AO117" s="51">
        <f>G117*0</f>
        <v>0</v>
      </c>
      <c r="AP117" s="51">
        <f>G117*(1-0)</f>
        <v>0</v>
      </c>
      <c r="AQ117" s="53" t="s">
        <v>138</v>
      </c>
      <c r="AV117" s="51">
        <f>ROUND(AW117+AX117,2)</f>
        <v>0</v>
      </c>
      <c r="AW117" s="51">
        <f>ROUND(F117*AO117,2)</f>
        <v>0</v>
      </c>
      <c r="AX117" s="51">
        <f>ROUND(F117*AP117,2)</f>
        <v>0</v>
      </c>
      <c r="AY117" s="53" t="s">
        <v>265</v>
      </c>
      <c r="AZ117" s="53" t="s">
        <v>242</v>
      </c>
      <c r="BA117" s="35" t="s">
        <v>117</v>
      </c>
      <c r="BC117" s="51">
        <f>AW117+AX117</f>
        <v>0</v>
      </c>
      <c r="BD117" s="51">
        <f>G117/(100-BE117)*100</f>
        <v>0</v>
      </c>
      <c r="BE117" s="51">
        <v>0</v>
      </c>
      <c r="BF117" s="51">
        <f>117</f>
        <v>117</v>
      </c>
      <c r="BH117" s="51">
        <f>F117*AO117</f>
        <v>0</v>
      </c>
      <c r="BI117" s="51">
        <f>F117*AP117</f>
        <v>0</v>
      </c>
      <c r="BJ117" s="51">
        <f>F117*G117</f>
        <v>0</v>
      </c>
      <c r="BK117" s="53" t="s">
        <v>118</v>
      </c>
      <c r="BL117" s="51">
        <v>96</v>
      </c>
      <c r="BW117" s="51">
        <v>12</v>
      </c>
      <c r="BX117" s="3" t="s">
        <v>311</v>
      </c>
    </row>
    <row r="118" spans="1:76">
      <c r="A118" s="54"/>
      <c r="C118" s="56" t="s">
        <v>312</v>
      </c>
      <c r="D118" s="57" t="s">
        <v>4</v>
      </c>
      <c r="F118" s="58">
        <v>16.326000000000001</v>
      </c>
      <c r="J118" s="41"/>
    </row>
    <row r="119" spans="1:76">
      <c r="A119" s="1" t="s">
        <v>313</v>
      </c>
      <c r="B119" s="2" t="s">
        <v>314</v>
      </c>
      <c r="C119" s="75" t="s">
        <v>315</v>
      </c>
      <c r="D119" s="70"/>
      <c r="E119" s="2" t="s">
        <v>308</v>
      </c>
      <c r="F119" s="51">
        <v>8.1630000000000003</v>
      </c>
      <c r="G119" s="52">
        <v>0</v>
      </c>
      <c r="H119" s="51">
        <f>ROUND(F119*G119,2)</f>
        <v>0</v>
      </c>
      <c r="J119" s="41"/>
      <c r="Z119" s="51">
        <f>ROUND(IF(AQ119="5",BJ119,0),2)</f>
        <v>0</v>
      </c>
      <c r="AB119" s="51">
        <f>ROUND(IF(AQ119="1",BH119,0),2)</f>
        <v>0</v>
      </c>
      <c r="AC119" s="51">
        <f>ROUND(IF(AQ119="1",BI119,0),2)</f>
        <v>0</v>
      </c>
      <c r="AD119" s="51">
        <f>ROUND(IF(AQ119="7",BH119,0),2)</f>
        <v>0</v>
      </c>
      <c r="AE119" s="51">
        <f>ROUND(IF(AQ119="7",BI119,0),2)</f>
        <v>0</v>
      </c>
      <c r="AF119" s="51">
        <f>ROUND(IF(AQ119="2",BH119,0),2)</f>
        <v>0</v>
      </c>
      <c r="AG119" s="51">
        <f>ROUND(IF(AQ119="2",BI119,0),2)</f>
        <v>0</v>
      </c>
      <c r="AH119" s="51">
        <f>ROUND(IF(AQ119="0",BJ119,0),2)</f>
        <v>0</v>
      </c>
      <c r="AI119" s="35" t="s">
        <v>4</v>
      </c>
      <c r="AJ119" s="51">
        <f>IF(AN119=0,H119,0)</f>
        <v>0</v>
      </c>
      <c r="AK119" s="51">
        <f>IF(AN119=12,H119,0)</f>
        <v>0</v>
      </c>
      <c r="AL119" s="51">
        <f>IF(AN119=21,H119,0)</f>
        <v>0</v>
      </c>
      <c r="AN119" s="51">
        <v>12</v>
      </c>
      <c r="AO119" s="51">
        <f>G119*0</f>
        <v>0</v>
      </c>
      <c r="AP119" s="51">
        <f>G119*(1-0)</f>
        <v>0</v>
      </c>
      <c r="AQ119" s="53" t="s">
        <v>138</v>
      </c>
      <c r="AV119" s="51">
        <f>ROUND(AW119+AX119,2)</f>
        <v>0</v>
      </c>
      <c r="AW119" s="51">
        <f>ROUND(F119*AO119,2)</f>
        <v>0</v>
      </c>
      <c r="AX119" s="51">
        <f>ROUND(F119*AP119,2)</f>
        <v>0</v>
      </c>
      <c r="AY119" s="53" t="s">
        <v>265</v>
      </c>
      <c r="AZ119" s="53" t="s">
        <v>242</v>
      </c>
      <c r="BA119" s="35" t="s">
        <v>117</v>
      </c>
      <c r="BC119" s="51">
        <f>AW119+AX119</f>
        <v>0</v>
      </c>
      <c r="BD119" s="51">
        <f>G119/(100-BE119)*100</f>
        <v>0</v>
      </c>
      <c r="BE119" s="51">
        <v>0</v>
      </c>
      <c r="BF119" s="51">
        <f>119</f>
        <v>119</v>
      </c>
      <c r="BH119" s="51">
        <f>F119*AO119</f>
        <v>0</v>
      </c>
      <c r="BI119" s="51">
        <f>F119*AP119</f>
        <v>0</v>
      </c>
      <c r="BJ119" s="51">
        <f>F119*G119</f>
        <v>0</v>
      </c>
      <c r="BK119" s="53" t="s">
        <v>118</v>
      </c>
      <c r="BL119" s="51">
        <v>96</v>
      </c>
      <c r="BW119" s="51">
        <v>12</v>
      </c>
      <c r="BX119" s="3" t="s">
        <v>315</v>
      </c>
    </row>
    <row r="120" spans="1:76">
      <c r="A120" s="1" t="s">
        <v>316</v>
      </c>
      <c r="B120" s="2" t="s">
        <v>317</v>
      </c>
      <c r="C120" s="75" t="s">
        <v>318</v>
      </c>
      <c r="D120" s="70"/>
      <c r="E120" s="2" t="s">
        <v>308</v>
      </c>
      <c r="F120" s="51">
        <v>40.814999999999998</v>
      </c>
      <c r="G120" s="52">
        <v>0</v>
      </c>
      <c r="H120" s="51">
        <f>ROUND(F120*G120,2)</f>
        <v>0</v>
      </c>
      <c r="J120" s="41"/>
      <c r="Z120" s="51">
        <f>ROUND(IF(AQ120="5",BJ120,0),2)</f>
        <v>0</v>
      </c>
      <c r="AB120" s="51">
        <f>ROUND(IF(AQ120="1",BH120,0),2)</f>
        <v>0</v>
      </c>
      <c r="AC120" s="51">
        <f>ROUND(IF(AQ120="1",BI120,0),2)</f>
        <v>0</v>
      </c>
      <c r="AD120" s="51">
        <f>ROUND(IF(AQ120="7",BH120,0),2)</f>
        <v>0</v>
      </c>
      <c r="AE120" s="51">
        <f>ROUND(IF(AQ120="7",BI120,0),2)</f>
        <v>0</v>
      </c>
      <c r="AF120" s="51">
        <f>ROUND(IF(AQ120="2",BH120,0),2)</f>
        <v>0</v>
      </c>
      <c r="AG120" s="51">
        <f>ROUND(IF(AQ120="2",BI120,0),2)</f>
        <v>0</v>
      </c>
      <c r="AH120" s="51">
        <f>ROUND(IF(AQ120="0",BJ120,0),2)</f>
        <v>0</v>
      </c>
      <c r="AI120" s="35" t="s">
        <v>4</v>
      </c>
      <c r="AJ120" s="51">
        <f>IF(AN120=0,H120,0)</f>
        <v>0</v>
      </c>
      <c r="AK120" s="51">
        <f>IF(AN120=12,H120,0)</f>
        <v>0</v>
      </c>
      <c r="AL120" s="51">
        <f>IF(AN120=21,H120,0)</f>
        <v>0</v>
      </c>
      <c r="AN120" s="51">
        <v>12</v>
      </c>
      <c r="AO120" s="51">
        <f>G120*0</f>
        <v>0</v>
      </c>
      <c r="AP120" s="51">
        <f>G120*(1-0)</f>
        <v>0</v>
      </c>
      <c r="AQ120" s="53" t="s">
        <v>138</v>
      </c>
      <c r="AV120" s="51">
        <f>ROUND(AW120+AX120,2)</f>
        <v>0</v>
      </c>
      <c r="AW120" s="51">
        <f>ROUND(F120*AO120,2)</f>
        <v>0</v>
      </c>
      <c r="AX120" s="51">
        <f>ROUND(F120*AP120,2)</f>
        <v>0</v>
      </c>
      <c r="AY120" s="53" t="s">
        <v>265</v>
      </c>
      <c r="AZ120" s="53" t="s">
        <v>242</v>
      </c>
      <c r="BA120" s="35" t="s">
        <v>117</v>
      </c>
      <c r="BC120" s="51">
        <f>AW120+AX120</f>
        <v>0</v>
      </c>
      <c r="BD120" s="51">
        <f>G120/(100-BE120)*100</f>
        <v>0</v>
      </c>
      <c r="BE120" s="51">
        <v>0</v>
      </c>
      <c r="BF120" s="51">
        <f>120</f>
        <v>120</v>
      </c>
      <c r="BH120" s="51">
        <f>F120*AO120</f>
        <v>0</v>
      </c>
      <c r="BI120" s="51">
        <f>F120*AP120</f>
        <v>0</v>
      </c>
      <c r="BJ120" s="51">
        <f>F120*G120</f>
        <v>0</v>
      </c>
      <c r="BK120" s="53" t="s">
        <v>118</v>
      </c>
      <c r="BL120" s="51">
        <v>96</v>
      </c>
      <c r="BW120" s="51">
        <v>12</v>
      </c>
      <c r="BX120" s="3" t="s">
        <v>318</v>
      </c>
    </row>
    <row r="121" spans="1:76">
      <c r="A121" s="54"/>
      <c r="C121" s="56" t="s">
        <v>319</v>
      </c>
      <c r="D121" s="57" t="s">
        <v>4</v>
      </c>
      <c r="F121" s="58">
        <v>40.814999999999998</v>
      </c>
      <c r="J121" s="41"/>
    </row>
    <row r="122" spans="1:76">
      <c r="A122" s="1" t="s">
        <v>320</v>
      </c>
      <c r="B122" s="2" t="s">
        <v>321</v>
      </c>
      <c r="C122" s="75" t="s">
        <v>322</v>
      </c>
      <c r="D122" s="70"/>
      <c r="E122" s="2" t="s">
        <v>308</v>
      </c>
      <c r="F122" s="51">
        <v>8.1630000000000003</v>
      </c>
      <c r="G122" s="52">
        <v>0</v>
      </c>
      <c r="H122" s="51">
        <f>ROUND(F122*G122,2)</f>
        <v>0</v>
      </c>
      <c r="J122" s="41"/>
      <c r="Z122" s="51">
        <f>ROUND(IF(AQ122="5",BJ122,0),2)</f>
        <v>0</v>
      </c>
      <c r="AB122" s="51">
        <f>ROUND(IF(AQ122="1",BH122,0),2)</f>
        <v>0</v>
      </c>
      <c r="AC122" s="51">
        <f>ROUND(IF(AQ122="1",BI122,0),2)</f>
        <v>0</v>
      </c>
      <c r="AD122" s="51">
        <f>ROUND(IF(AQ122="7",BH122,0),2)</f>
        <v>0</v>
      </c>
      <c r="AE122" s="51">
        <f>ROUND(IF(AQ122="7",BI122,0),2)</f>
        <v>0</v>
      </c>
      <c r="AF122" s="51">
        <f>ROUND(IF(AQ122="2",BH122,0),2)</f>
        <v>0</v>
      </c>
      <c r="AG122" s="51">
        <f>ROUND(IF(AQ122="2",BI122,0),2)</f>
        <v>0</v>
      </c>
      <c r="AH122" s="51">
        <f>ROUND(IF(AQ122="0",BJ122,0),2)</f>
        <v>0</v>
      </c>
      <c r="AI122" s="35" t="s">
        <v>4</v>
      </c>
      <c r="AJ122" s="51">
        <f>IF(AN122=0,H122,0)</f>
        <v>0</v>
      </c>
      <c r="AK122" s="51">
        <f>IF(AN122=12,H122,0)</f>
        <v>0</v>
      </c>
      <c r="AL122" s="51">
        <f>IF(AN122=21,H122,0)</f>
        <v>0</v>
      </c>
      <c r="AN122" s="51">
        <v>12</v>
      </c>
      <c r="AO122" s="51">
        <f>G122*0</f>
        <v>0</v>
      </c>
      <c r="AP122" s="51">
        <f>G122*(1-0)</f>
        <v>0</v>
      </c>
      <c r="AQ122" s="53" t="s">
        <v>138</v>
      </c>
      <c r="AV122" s="51">
        <f>ROUND(AW122+AX122,2)</f>
        <v>0</v>
      </c>
      <c r="AW122" s="51">
        <f>ROUND(F122*AO122,2)</f>
        <v>0</v>
      </c>
      <c r="AX122" s="51">
        <f>ROUND(F122*AP122,2)</f>
        <v>0</v>
      </c>
      <c r="AY122" s="53" t="s">
        <v>265</v>
      </c>
      <c r="AZ122" s="53" t="s">
        <v>242</v>
      </c>
      <c r="BA122" s="35" t="s">
        <v>117</v>
      </c>
      <c r="BC122" s="51">
        <f>AW122+AX122</f>
        <v>0</v>
      </c>
      <c r="BD122" s="51">
        <f>G122/(100-BE122)*100</f>
        <v>0</v>
      </c>
      <c r="BE122" s="51">
        <v>0</v>
      </c>
      <c r="BF122" s="51">
        <f>122</f>
        <v>122</v>
      </c>
      <c r="BH122" s="51">
        <f>F122*AO122</f>
        <v>0</v>
      </c>
      <c r="BI122" s="51">
        <f>F122*AP122</f>
        <v>0</v>
      </c>
      <c r="BJ122" s="51">
        <f>F122*G122</f>
        <v>0</v>
      </c>
      <c r="BK122" s="53" t="s">
        <v>118</v>
      </c>
      <c r="BL122" s="51">
        <v>96</v>
      </c>
      <c r="BW122" s="51">
        <v>12</v>
      </c>
      <c r="BX122" s="3" t="s">
        <v>322</v>
      </c>
    </row>
    <row r="123" spans="1:76">
      <c r="A123" s="1" t="s">
        <v>323</v>
      </c>
      <c r="B123" s="2" t="s">
        <v>324</v>
      </c>
      <c r="C123" s="75" t="s">
        <v>325</v>
      </c>
      <c r="D123" s="70"/>
      <c r="E123" s="2" t="s">
        <v>308</v>
      </c>
      <c r="F123" s="51">
        <v>32.652000000000001</v>
      </c>
      <c r="G123" s="52">
        <v>0</v>
      </c>
      <c r="H123" s="51">
        <f>ROUND(F123*G123,2)</f>
        <v>0</v>
      </c>
      <c r="J123" s="41"/>
      <c r="Z123" s="51">
        <f>ROUND(IF(AQ123="5",BJ123,0),2)</f>
        <v>0</v>
      </c>
      <c r="AB123" s="51">
        <f>ROUND(IF(AQ123="1",BH123,0),2)</f>
        <v>0</v>
      </c>
      <c r="AC123" s="51">
        <f>ROUND(IF(AQ123="1",BI123,0),2)</f>
        <v>0</v>
      </c>
      <c r="AD123" s="51">
        <f>ROUND(IF(AQ123="7",BH123,0),2)</f>
        <v>0</v>
      </c>
      <c r="AE123" s="51">
        <f>ROUND(IF(AQ123="7",BI123,0),2)</f>
        <v>0</v>
      </c>
      <c r="AF123" s="51">
        <f>ROUND(IF(AQ123="2",BH123,0),2)</f>
        <v>0</v>
      </c>
      <c r="AG123" s="51">
        <f>ROUND(IF(AQ123="2",BI123,0),2)</f>
        <v>0</v>
      </c>
      <c r="AH123" s="51">
        <f>ROUND(IF(AQ123="0",BJ123,0),2)</f>
        <v>0</v>
      </c>
      <c r="AI123" s="35" t="s">
        <v>4</v>
      </c>
      <c r="AJ123" s="51">
        <f>IF(AN123=0,H123,0)</f>
        <v>0</v>
      </c>
      <c r="AK123" s="51">
        <f>IF(AN123=12,H123,0)</f>
        <v>0</v>
      </c>
      <c r="AL123" s="51">
        <f>IF(AN123=21,H123,0)</f>
        <v>0</v>
      </c>
      <c r="AN123" s="51">
        <v>12</v>
      </c>
      <c r="AO123" s="51">
        <f>G123*0</f>
        <v>0</v>
      </c>
      <c r="AP123" s="51">
        <f>G123*(1-0)</f>
        <v>0</v>
      </c>
      <c r="AQ123" s="53" t="s">
        <v>138</v>
      </c>
      <c r="AV123" s="51">
        <f>ROUND(AW123+AX123,2)</f>
        <v>0</v>
      </c>
      <c r="AW123" s="51">
        <f>ROUND(F123*AO123,2)</f>
        <v>0</v>
      </c>
      <c r="AX123" s="51">
        <f>ROUND(F123*AP123,2)</f>
        <v>0</v>
      </c>
      <c r="AY123" s="53" t="s">
        <v>265</v>
      </c>
      <c r="AZ123" s="53" t="s">
        <v>242</v>
      </c>
      <c r="BA123" s="35" t="s">
        <v>117</v>
      </c>
      <c r="BC123" s="51">
        <f>AW123+AX123</f>
        <v>0</v>
      </c>
      <c r="BD123" s="51">
        <f>G123/(100-BE123)*100</f>
        <v>0</v>
      </c>
      <c r="BE123" s="51">
        <v>0</v>
      </c>
      <c r="BF123" s="51">
        <f>123</f>
        <v>123</v>
      </c>
      <c r="BH123" s="51">
        <f>F123*AO123</f>
        <v>0</v>
      </c>
      <c r="BI123" s="51">
        <f>F123*AP123</f>
        <v>0</v>
      </c>
      <c r="BJ123" s="51">
        <f>F123*G123</f>
        <v>0</v>
      </c>
      <c r="BK123" s="53" t="s">
        <v>118</v>
      </c>
      <c r="BL123" s="51">
        <v>96</v>
      </c>
      <c r="BW123" s="51">
        <v>12</v>
      </c>
      <c r="BX123" s="3" t="s">
        <v>325</v>
      </c>
    </row>
    <row r="124" spans="1:76">
      <c r="A124" s="54"/>
      <c r="C124" s="56" t="s">
        <v>326</v>
      </c>
      <c r="D124" s="57" t="s">
        <v>4</v>
      </c>
      <c r="F124" s="58">
        <v>32.652000000000001</v>
      </c>
      <c r="J124" s="41"/>
    </row>
    <row r="125" spans="1:76">
      <c r="A125" s="1" t="s">
        <v>327</v>
      </c>
      <c r="B125" s="2" t="s">
        <v>328</v>
      </c>
      <c r="C125" s="75" t="s">
        <v>329</v>
      </c>
      <c r="D125" s="70"/>
      <c r="E125" s="2" t="s">
        <v>308</v>
      </c>
      <c r="F125" s="51">
        <v>8.0459999999999994</v>
      </c>
      <c r="G125" s="52">
        <v>0</v>
      </c>
      <c r="H125" s="51">
        <f>ROUND(F125*G125,2)</f>
        <v>0</v>
      </c>
      <c r="J125" s="41"/>
      <c r="Z125" s="51">
        <f>ROUND(IF(AQ125="5",BJ125,0),2)</f>
        <v>0</v>
      </c>
      <c r="AB125" s="51">
        <f>ROUND(IF(AQ125="1",BH125,0),2)</f>
        <v>0</v>
      </c>
      <c r="AC125" s="51">
        <f>ROUND(IF(AQ125="1",BI125,0),2)</f>
        <v>0</v>
      </c>
      <c r="AD125" s="51">
        <f>ROUND(IF(AQ125="7",BH125,0),2)</f>
        <v>0</v>
      </c>
      <c r="AE125" s="51">
        <f>ROUND(IF(AQ125="7",BI125,0),2)</f>
        <v>0</v>
      </c>
      <c r="AF125" s="51">
        <f>ROUND(IF(AQ125="2",BH125,0),2)</f>
        <v>0</v>
      </c>
      <c r="AG125" s="51">
        <f>ROUND(IF(AQ125="2",BI125,0),2)</f>
        <v>0</v>
      </c>
      <c r="AH125" s="51">
        <f>ROUND(IF(AQ125="0",BJ125,0),2)</f>
        <v>0</v>
      </c>
      <c r="AI125" s="35" t="s">
        <v>4</v>
      </c>
      <c r="AJ125" s="51">
        <f>IF(AN125=0,H125,0)</f>
        <v>0</v>
      </c>
      <c r="AK125" s="51">
        <f>IF(AN125=12,H125,0)</f>
        <v>0</v>
      </c>
      <c r="AL125" s="51">
        <f>IF(AN125=21,H125,0)</f>
        <v>0</v>
      </c>
      <c r="AN125" s="51">
        <v>12</v>
      </c>
      <c r="AO125" s="51">
        <f>G125*0</f>
        <v>0</v>
      </c>
      <c r="AP125" s="51">
        <f>G125*(1-0)</f>
        <v>0</v>
      </c>
      <c r="AQ125" s="53" t="s">
        <v>138</v>
      </c>
      <c r="AV125" s="51">
        <f>ROUND(AW125+AX125,2)</f>
        <v>0</v>
      </c>
      <c r="AW125" s="51">
        <f>ROUND(F125*AO125,2)</f>
        <v>0</v>
      </c>
      <c r="AX125" s="51">
        <f>ROUND(F125*AP125,2)</f>
        <v>0</v>
      </c>
      <c r="AY125" s="53" t="s">
        <v>265</v>
      </c>
      <c r="AZ125" s="53" t="s">
        <v>242</v>
      </c>
      <c r="BA125" s="35" t="s">
        <v>117</v>
      </c>
      <c r="BC125" s="51">
        <f>AW125+AX125</f>
        <v>0</v>
      </c>
      <c r="BD125" s="51">
        <f>G125/(100-BE125)*100</f>
        <v>0</v>
      </c>
      <c r="BE125" s="51">
        <v>0</v>
      </c>
      <c r="BF125" s="51">
        <f>125</f>
        <v>125</v>
      </c>
      <c r="BH125" s="51">
        <f>F125*AO125</f>
        <v>0</v>
      </c>
      <c r="BI125" s="51">
        <f>F125*AP125</f>
        <v>0</v>
      </c>
      <c r="BJ125" s="51">
        <f>F125*G125</f>
        <v>0</v>
      </c>
      <c r="BK125" s="53" t="s">
        <v>118</v>
      </c>
      <c r="BL125" s="51">
        <v>96</v>
      </c>
      <c r="BW125" s="51">
        <v>12</v>
      </c>
      <c r="BX125" s="3" t="s">
        <v>329</v>
      </c>
    </row>
    <row r="126" spans="1:76">
      <c r="A126" s="54"/>
      <c r="C126" s="56" t="s">
        <v>330</v>
      </c>
      <c r="D126" s="57" t="s">
        <v>4</v>
      </c>
      <c r="F126" s="58">
        <v>8.0459999999999994</v>
      </c>
      <c r="J126" s="41"/>
    </row>
    <row r="127" spans="1:76">
      <c r="A127" s="1" t="s">
        <v>331</v>
      </c>
      <c r="B127" s="2" t="s">
        <v>332</v>
      </c>
      <c r="C127" s="75" t="s">
        <v>333</v>
      </c>
      <c r="D127" s="70"/>
      <c r="E127" s="2" t="s">
        <v>308</v>
      </c>
      <c r="F127" s="51">
        <v>0.11700000000000001</v>
      </c>
      <c r="G127" s="52">
        <v>0</v>
      </c>
      <c r="H127" s="51">
        <f>ROUND(F127*G127,2)</f>
        <v>0</v>
      </c>
      <c r="J127" s="41"/>
      <c r="Z127" s="51">
        <f>ROUND(IF(AQ127="5",BJ127,0),2)</f>
        <v>0</v>
      </c>
      <c r="AB127" s="51">
        <f>ROUND(IF(AQ127="1",BH127,0),2)</f>
        <v>0</v>
      </c>
      <c r="AC127" s="51">
        <f>ROUND(IF(AQ127="1",BI127,0),2)</f>
        <v>0</v>
      </c>
      <c r="AD127" s="51">
        <f>ROUND(IF(AQ127="7",BH127,0),2)</f>
        <v>0</v>
      </c>
      <c r="AE127" s="51">
        <f>ROUND(IF(AQ127="7",BI127,0),2)</f>
        <v>0</v>
      </c>
      <c r="AF127" s="51">
        <f>ROUND(IF(AQ127="2",BH127,0),2)</f>
        <v>0</v>
      </c>
      <c r="AG127" s="51">
        <f>ROUND(IF(AQ127="2",BI127,0),2)</f>
        <v>0</v>
      </c>
      <c r="AH127" s="51">
        <f>ROUND(IF(AQ127="0",BJ127,0),2)</f>
        <v>0</v>
      </c>
      <c r="AI127" s="35" t="s">
        <v>4</v>
      </c>
      <c r="AJ127" s="51">
        <f>IF(AN127=0,H127,0)</f>
        <v>0</v>
      </c>
      <c r="AK127" s="51">
        <f>IF(AN127=12,H127,0)</f>
        <v>0</v>
      </c>
      <c r="AL127" s="51">
        <f>IF(AN127=21,H127,0)</f>
        <v>0</v>
      </c>
      <c r="AN127" s="51">
        <v>12</v>
      </c>
      <c r="AO127" s="51">
        <f>G127*0</f>
        <v>0</v>
      </c>
      <c r="AP127" s="51">
        <f>G127*(1-0)</f>
        <v>0</v>
      </c>
      <c r="AQ127" s="53" t="s">
        <v>138</v>
      </c>
      <c r="AV127" s="51">
        <f>ROUND(AW127+AX127,2)</f>
        <v>0</v>
      </c>
      <c r="AW127" s="51">
        <f>ROUND(F127*AO127,2)</f>
        <v>0</v>
      </c>
      <c r="AX127" s="51">
        <f>ROUND(F127*AP127,2)</f>
        <v>0</v>
      </c>
      <c r="AY127" s="53" t="s">
        <v>265</v>
      </c>
      <c r="AZ127" s="53" t="s">
        <v>242</v>
      </c>
      <c r="BA127" s="35" t="s">
        <v>117</v>
      </c>
      <c r="BC127" s="51">
        <f>AW127+AX127</f>
        <v>0</v>
      </c>
      <c r="BD127" s="51">
        <f>G127/(100-BE127)*100</f>
        <v>0</v>
      </c>
      <c r="BE127" s="51">
        <v>0</v>
      </c>
      <c r="BF127" s="51">
        <f>127</f>
        <v>127</v>
      </c>
      <c r="BH127" s="51">
        <f>F127*AO127</f>
        <v>0</v>
      </c>
      <c r="BI127" s="51">
        <f>F127*AP127</f>
        <v>0</v>
      </c>
      <c r="BJ127" s="51">
        <f>F127*G127</f>
        <v>0</v>
      </c>
      <c r="BK127" s="53" t="s">
        <v>118</v>
      </c>
      <c r="BL127" s="51">
        <v>96</v>
      </c>
      <c r="BW127" s="51">
        <v>12</v>
      </c>
      <c r="BX127" s="3" t="s">
        <v>333</v>
      </c>
    </row>
    <row r="128" spans="1:76">
      <c r="A128" s="54"/>
      <c r="C128" s="56" t="s">
        <v>334</v>
      </c>
      <c r="D128" s="57" t="s">
        <v>335</v>
      </c>
      <c r="F128" s="58">
        <v>9.2999999999999999E-2</v>
      </c>
      <c r="J128" s="41"/>
    </row>
    <row r="129" spans="1:76">
      <c r="A129" s="54"/>
      <c r="C129" s="56" t="s">
        <v>336</v>
      </c>
      <c r="D129" s="57" t="s">
        <v>337</v>
      </c>
      <c r="F129" s="58">
        <v>2.4E-2</v>
      </c>
      <c r="J129" s="41"/>
    </row>
    <row r="130" spans="1:76">
      <c r="A130" s="47" t="s">
        <v>4</v>
      </c>
      <c r="B130" s="48" t="s">
        <v>338</v>
      </c>
      <c r="C130" s="150" t="s">
        <v>339</v>
      </c>
      <c r="D130" s="151"/>
      <c r="E130" s="49" t="s">
        <v>79</v>
      </c>
      <c r="F130" s="49" t="s">
        <v>79</v>
      </c>
      <c r="G130" s="50" t="s">
        <v>79</v>
      </c>
      <c r="H130" s="28">
        <f>SUM(H131:H131)</f>
        <v>0</v>
      </c>
      <c r="J130" s="41"/>
      <c r="AI130" s="35" t="s">
        <v>4</v>
      </c>
      <c r="AS130" s="28">
        <f>SUM(AJ131:AJ131)</f>
        <v>0</v>
      </c>
      <c r="AT130" s="28">
        <f>SUM(AK131:AK131)</f>
        <v>0</v>
      </c>
      <c r="AU130" s="28">
        <f>SUM(AL131:AL131)</f>
        <v>0</v>
      </c>
    </row>
    <row r="131" spans="1:76">
      <c r="A131" s="1" t="s">
        <v>340</v>
      </c>
      <c r="B131" s="2" t="s">
        <v>341</v>
      </c>
      <c r="C131" s="75" t="s">
        <v>342</v>
      </c>
      <c r="D131" s="70"/>
      <c r="E131" s="2" t="s">
        <v>308</v>
      </c>
      <c r="F131" s="51">
        <v>7.657</v>
      </c>
      <c r="G131" s="52">
        <v>0</v>
      </c>
      <c r="H131" s="51">
        <f>ROUND(F131*G131,2)</f>
        <v>0</v>
      </c>
      <c r="J131" s="41"/>
      <c r="Z131" s="51">
        <f>ROUND(IF(AQ131="5",BJ131,0),2)</f>
        <v>0</v>
      </c>
      <c r="AB131" s="51">
        <f>ROUND(IF(AQ131="1",BH131,0),2)</f>
        <v>0</v>
      </c>
      <c r="AC131" s="51">
        <f>ROUND(IF(AQ131="1",BI131,0),2)</f>
        <v>0</v>
      </c>
      <c r="AD131" s="51">
        <f>ROUND(IF(AQ131="7",BH131,0),2)</f>
        <v>0</v>
      </c>
      <c r="AE131" s="51">
        <f>ROUND(IF(AQ131="7",BI131,0),2)</f>
        <v>0</v>
      </c>
      <c r="AF131" s="51">
        <f>ROUND(IF(AQ131="2",BH131,0),2)</f>
        <v>0</v>
      </c>
      <c r="AG131" s="51">
        <f>ROUND(IF(AQ131="2",BI131,0),2)</f>
        <v>0</v>
      </c>
      <c r="AH131" s="51">
        <f>ROUND(IF(AQ131="0",BJ131,0),2)</f>
        <v>0</v>
      </c>
      <c r="AI131" s="35" t="s">
        <v>4</v>
      </c>
      <c r="AJ131" s="51">
        <f>IF(AN131=0,H131,0)</f>
        <v>0</v>
      </c>
      <c r="AK131" s="51">
        <f>IF(AN131=12,H131,0)</f>
        <v>0</v>
      </c>
      <c r="AL131" s="51">
        <f>IF(AN131=21,H131,0)</f>
        <v>0</v>
      </c>
      <c r="AN131" s="51">
        <v>12</v>
      </c>
      <c r="AO131" s="51">
        <f>G131*0</f>
        <v>0</v>
      </c>
      <c r="AP131" s="51">
        <f>G131*(1-0)</f>
        <v>0</v>
      </c>
      <c r="AQ131" s="53" t="s">
        <v>138</v>
      </c>
      <c r="AV131" s="51">
        <f>ROUND(AW131+AX131,2)</f>
        <v>0</v>
      </c>
      <c r="AW131" s="51">
        <f>ROUND(F131*AO131,2)</f>
        <v>0</v>
      </c>
      <c r="AX131" s="51">
        <f>ROUND(F131*AP131,2)</f>
        <v>0</v>
      </c>
      <c r="AY131" s="53" t="s">
        <v>343</v>
      </c>
      <c r="AZ131" s="53" t="s">
        <v>242</v>
      </c>
      <c r="BA131" s="35" t="s">
        <v>117</v>
      </c>
      <c r="BC131" s="51">
        <f>AW131+AX131</f>
        <v>0</v>
      </c>
      <c r="BD131" s="51">
        <f>G131/(100-BE131)*100</f>
        <v>0</v>
      </c>
      <c r="BE131" s="51">
        <v>0</v>
      </c>
      <c r="BF131" s="51">
        <f>131</f>
        <v>131</v>
      </c>
      <c r="BH131" s="51">
        <f>F131*AO131</f>
        <v>0</v>
      </c>
      <c r="BI131" s="51">
        <f>F131*AP131</f>
        <v>0</v>
      </c>
      <c r="BJ131" s="51">
        <f>F131*G131</f>
        <v>0</v>
      </c>
      <c r="BK131" s="53" t="s">
        <v>118</v>
      </c>
      <c r="BL131" s="51">
        <v>99</v>
      </c>
      <c r="BW131" s="51">
        <v>12</v>
      </c>
      <c r="BX131" s="3" t="s">
        <v>342</v>
      </c>
    </row>
    <row r="132" spans="1:76">
      <c r="A132" s="47" t="s">
        <v>4</v>
      </c>
      <c r="B132" s="48" t="s">
        <v>344</v>
      </c>
      <c r="C132" s="150" t="s">
        <v>345</v>
      </c>
      <c r="D132" s="151"/>
      <c r="E132" s="49" t="s">
        <v>79</v>
      </c>
      <c r="F132" s="49" t="s">
        <v>79</v>
      </c>
      <c r="G132" s="50" t="s">
        <v>79</v>
      </c>
      <c r="H132" s="28">
        <f>SUM(H133:H143)</f>
        <v>0</v>
      </c>
      <c r="J132" s="41"/>
      <c r="AI132" s="35" t="s">
        <v>4</v>
      </c>
      <c r="AS132" s="28">
        <f>SUM(AJ133:AJ143)</f>
        <v>0</v>
      </c>
      <c r="AT132" s="28">
        <f>SUM(AK133:AK143)</f>
        <v>0</v>
      </c>
      <c r="AU132" s="28">
        <f>SUM(AL133:AL143)</f>
        <v>0</v>
      </c>
    </row>
    <row r="133" spans="1:76">
      <c r="A133" s="1" t="s">
        <v>346</v>
      </c>
      <c r="B133" s="2" t="s">
        <v>347</v>
      </c>
      <c r="C133" s="75" t="s">
        <v>348</v>
      </c>
      <c r="D133" s="70"/>
      <c r="E133" s="2" t="s">
        <v>125</v>
      </c>
      <c r="F133" s="51">
        <v>8.11</v>
      </c>
      <c r="G133" s="52">
        <v>0</v>
      </c>
      <c r="H133" s="51">
        <f>ROUND(F133*G133,2)</f>
        <v>0</v>
      </c>
      <c r="J133" s="41"/>
      <c r="Z133" s="51">
        <f>ROUND(IF(AQ133="5",BJ133,0),2)</f>
        <v>0</v>
      </c>
      <c r="AB133" s="51">
        <f>ROUND(IF(AQ133="1",BH133,0),2)</f>
        <v>0</v>
      </c>
      <c r="AC133" s="51">
        <f>ROUND(IF(AQ133="1",BI133,0),2)</f>
        <v>0</v>
      </c>
      <c r="AD133" s="51">
        <f>ROUND(IF(AQ133="7",BH133,0),2)</f>
        <v>0</v>
      </c>
      <c r="AE133" s="51">
        <f>ROUND(IF(AQ133="7",BI133,0),2)</f>
        <v>0</v>
      </c>
      <c r="AF133" s="51">
        <f>ROUND(IF(AQ133="2",BH133,0),2)</f>
        <v>0</v>
      </c>
      <c r="AG133" s="51">
        <f>ROUND(IF(AQ133="2",BI133,0),2)</f>
        <v>0</v>
      </c>
      <c r="AH133" s="51">
        <f>ROUND(IF(AQ133="0",BJ133,0),2)</f>
        <v>0</v>
      </c>
      <c r="AI133" s="35" t="s">
        <v>4</v>
      </c>
      <c r="AJ133" s="51">
        <f>IF(AN133=0,H133,0)</f>
        <v>0</v>
      </c>
      <c r="AK133" s="51">
        <f>IF(AN133=12,H133,0)</f>
        <v>0</v>
      </c>
      <c r="AL133" s="51">
        <f>IF(AN133=21,H133,0)</f>
        <v>0</v>
      </c>
      <c r="AN133" s="51">
        <v>12</v>
      </c>
      <c r="AO133" s="51">
        <f>G133*0.296151987</f>
        <v>0</v>
      </c>
      <c r="AP133" s="51">
        <f>G133*(1-0.296151987)</f>
        <v>0</v>
      </c>
      <c r="AQ133" s="53" t="s">
        <v>149</v>
      </c>
      <c r="AV133" s="51">
        <f>ROUND(AW133+AX133,2)</f>
        <v>0</v>
      </c>
      <c r="AW133" s="51">
        <f>ROUND(F133*AO133,2)</f>
        <v>0</v>
      </c>
      <c r="AX133" s="51">
        <f>ROUND(F133*AP133,2)</f>
        <v>0</v>
      </c>
      <c r="AY133" s="53" t="s">
        <v>349</v>
      </c>
      <c r="AZ133" s="53" t="s">
        <v>350</v>
      </c>
      <c r="BA133" s="35" t="s">
        <v>117</v>
      </c>
      <c r="BC133" s="51">
        <f>AW133+AX133</f>
        <v>0</v>
      </c>
      <c r="BD133" s="51">
        <f>G133/(100-BE133)*100</f>
        <v>0</v>
      </c>
      <c r="BE133" s="51">
        <v>0</v>
      </c>
      <c r="BF133" s="51">
        <f>133</f>
        <v>133</v>
      </c>
      <c r="BH133" s="51">
        <f>F133*AO133</f>
        <v>0</v>
      </c>
      <c r="BI133" s="51">
        <f>F133*AP133</f>
        <v>0</v>
      </c>
      <c r="BJ133" s="51">
        <f>F133*G133</f>
        <v>0</v>
      </c>
      <c r="BK133" s="53" t="s">
        <v>118</v>
      </c>
      <c r="BL133" s="51">
        <v>711</v>
      </c>
      <c r="BW133" s="51">
        <v>12</v>
      </c>
      <c r="BX133" s="3" t="s">
        <v>348</v>
      </c>
    </row>
    <row r="134" spans="1:76">
      <c r="A134" s="1" t="s">
        <v>351</v>
      </c>
      <c r="B134" s="2" t="s">
        <v>352</v>
      </c>
      <c r="C134" s="75" t="s">
        <v>353</v>
      </c>
      <c r="D134" s="70"/>
      <c r="E134" s="2" t="s">
        <v>125</v>
      </c>
      <c r="F134" s="51">
        <v>8.11</v>
      </c>
      <c r="G134" s="52">
        <v>0</v>
      </c>
      <c r="H134" s="51">
        <f>ROUND(F134*G134,2)</f>
        <v>0</v>
      </c>
      <c r="J134" s="41"/>
      <c r="Z134" s="51">
        <f>ROUND(IF(AQ134="5",BJ134,0),2)</f>
        <v>0</v>
      </c>
      <c r="AB134" s="51">
        <f>ROUND(IF(AQ134="1",BH134,0),2)</f>
        <v>0</v>
      </c>
      <c r="AC134" s="51">
        <f>ROUND(IF(AQ134="1",BI134,0),2)</f>
        <v>0</v>
      </c>
      <c r="AD134" s="51">
        <f>ROUND(IF(AQ134="7",BH134,0),2)</f>
        <v>0</v>
      </c>
      <c r="AE134" s="51">
        <f>ROUND(IF(AQ134="7",BI134,0),2)</f>
        <v>0</v>
      </c>
      <c r="AF134" s="51">
        <f>ROUND(IF(AQ134="2",BH134,0),2)</f>
        <v>0</v>
      </c>
      <c r="AG134" s="51">
        <f>ROUND(IF(AQ134="2",BI134,0),2)</f>
        <v>0</v>
      </c>
      <c r="AH134" s="51">
        <f>ROUND(IF(AQ134="0",BJ134,0),2)</f>
        <v>0</v>
      </c>
      <c r="AI134" s="35" t="s">
        <v>4</v>
      </c>
      <c r="AJ134" s="51">
        <f>IF(AN134=0,H134,0)</f>
        <v>0</v>
      </c>
      <c r="AK134" s="51">
        <f>IF(AN134=12,H134,0)</f>
        <v>0</v>
      </c>
      <c r="AL134" s="51">
        <f>IF(AN134=21,H134,0)</f>
        <v>0</v>
      </c>
      <c r="AN134" s="51">
        <v>12</v>
      </c>
      <c r="AO134" s="51">
        <f>G134*0.614857673</f>
        <v>0</v>
      </c>
      <c r="AP134" s="51">
        <f>G134*(1-0.614857673)</f>
        <v>0</v>
      </c>
      <c r="AQ134" s="53" t="s">
        <v>149</v>
      </c>
      <c r="AV134" s="51">
        <f>ROUND(AW134+AX134,2)</f>
        <v>0</v>
      </c>
      <c r="AW134" s="51">
        <f>ROUND(F134*AO134,2)</f>
        <v>0</v>
      </c>
      <c r="AX134" s="51">
        <f>ROUND(F134*AP134,2)</f>
        <v>0</v>
      </c>
      <c r="AY134" s="53" t="s">
        <v>349</v>
      </c>
      <c r="AZ134" s="53" t="s">
        <v>350</v>
      </c>
      <c r="BA134" s="35" t="s">
        <v>117</v>
      </c>
      <c r="BC134" s="51">
        <f>AW134+AX134</f>
        <v>0</v>
      </c>
      <c r="BD134" s="51">
        <f>G134/(100-BE134)*100</f>
        <v>0</v>
      </c>
      <c r="BE134" s="51">
        <v>0</v>
      </c>
      <c r="BF134" s="51">
        <f>134</f>
        <v>134</v>
      </c>
      <c r="BH134" s="51">
        <f>F134*AO134</f>
        <v>0</v>
      </c>
      <c r="BI134" s="51">
        <f>F134*AP134</f>
        <v>0</v>
      </c>
      <c r="BJ134" s="51">
        <f>F134*G134</f>
        <v>0</v>
      </c>
      <c r="BK134" s="53" t="s">
        <v>118</v>
      </c>
      <c r="BL134" s="51">
        <v>711</v>
      </c>
      <c r="BW134" s="51">
        <v>12</v>
      </c>
      <c r="BX134" s="3" t="s">
        <v>353</v>
      </c>
    </row>
    <row r="135" spans="1:76" ht="13.5" customHeight="1">
      <c r="A135" s="54"/>
      <c r="B135" s="55" t="s">
        <v>119</v>
      </c>
      <c r="C135" s="152" t="s">
        <v>354</v>
      </c>
      <c r="D135" s="153"/>
      <c r="E135" s="153"/>
      <c r="F135" s="153"/>
      <c r="G135" s="154"/>
      <c r="H135" s="153"/>
      <c r="I135" s="153"/>
      <c r="J135" s="155"/>
    </row>
    <row r="136" spans="1:76">
      <c r="A136" s="54"/>
      <c r="C136" s="56" t="s">
        <v>355</v>
      </c>
      <c r="D136" s="57" t="s">
        <v>356</v>
      </c>
      <c r="F136" s="58">
        <v>2.3199999999999998</v>
      </c>
      <c r="J136" s="41"/>
    </row>
    <row r="137" spans="1:76">
      <c r="A137" s="54"/>
      <c r="C137" s="56" t="s">
        <v>357</v>
      </c>
      <c r="D137" s="57" t="s">
        <v>358</v>
      </c>
      <c r="F137" s="58">
        <v>1.59</v>
      </c>
      <c r="J137" s="41"/>
    </row>
    <row r="138" spans="1:76">
      <c r="A138" s="54"/>
      <c r="C138" s="56" t="s">
        <v>359</v>
      </c>
      <c r="D138" s="57" t="s">
        <v>360</v>
      </c>
      <c r="F138" s="58">
        <v>4.2</v>
      </c>
      <c r="J138" s="41"/>
    </row>
    <row r="139" spans="1:76">
      <c r="A139" s="1" t="s">
        <v>361</v>
      </c>
      <c r="B139" s="2" t="s">
        <v>362</v>
      </c>
      <c r="C139" s="75" t="s">
        <v>363</v>
      </c>
      <c r="D139" s="70"/>
      <c r="E139" s="2" t="s">
        <v>135</v>
      </c>
      <c r="F139" s="51">
        <v>7.4</v>
      </c>
      <c r="G139" s="52">
        <v>0</v>
      </c>
      <c r="H139" s="51">
        <f>ROUND(F139*G139,2)</f>
        <v>0</v>
      </c>
      <c r="J139" s="41"/>
      <c r="Z139" s="51">
        <f>ROUND(IF(AQ139="5",BJ139,0),2)</f>
        <v>0</v>
      </c>
      <c r="AB139" s="51">
        <f>ROUND(IF(AQ139="1",BH139,0),2)</f>
        <v>0</v>
      </c>
      <c r="AC139" s="51">
        <f>ROUND(IF(AQ139="1",BI139,0),2)</f>
        <v>0</v>
      </c>
      <c r="AD139" s="51">
        <f>ROUND(IF(AQ139="7",BH139,0),2)</f>
        <v>0</v>
      </c>
      <c r="AE139" s="51">
        <f>ROUND(IF(AQ139="7",BI139,0),2)</f>
        <v>0</v>
      </c>
      <c r="AF139" s="51">
        <f>ROUND(IF(AQ139="2",BH139,0),2)</f>
        <v>0</v>
      </c>
      <c r="AG139" s="51">
        <f>ROUND(IF(AQ139="2",BI139,0),2)</f>
        <v>0</v>
      </c>
      <c r="AH139" s="51">
        <f>ROUND(IF(AQ139="0",BJ139,0),2)</f>
        <v>0</v>
      </c>
      <c r="AI139" s="35" t="s">
        <v>4</v>
      </c>
      <c r="AJ139" s="51">
        <f>IF(AN139=0,H139,0)</f>
        <v>0</v>
      </c>
      <c r="AK139" s="51">
        <f>IF(AN139=12,H139,0)</f>
        <v>0</v>
      </c>
      <c r="AL139" s="51">
        <f>IF(AN139=21,H139,0)</f>
        <v>0</v>
      </c>
      <c r="AN139" s="51">
        <v>12</v>
      </c>
      <c r="AO139" s="51">
        <f>G139*0.644052809</f>
        <v>0</v>
      </c>
      <c r="AP139" s="51">
        <f>G139*(1-0.644052809)</f>
        <v>0</v>
      </c>
      <c r="AQ139" s="53" t="s">
        <v>149</v>
      </c>
      <c r="AV139" s="51">
        <f>ROUND(AW139+AX139,2)</f>
        <v>0</v>
      </c>
      <c r="AW139" s="51">
        <f>ROUND(F139*AO139,2)</f>
        <v>0</v>
      </c>
      <c r="AX139" s="51">
        <f>ROUND(F139*AP139,2)</f>
        <v>0</v>
      </c>
      <c r="AY139" s="53" t="s">
        <v>349</v>
      </c>
      <c r="AZ139" s="53" t="s">
        <v>350</v>
      </c>
      <c r="BA139" s="35" t="s">
        <v>117</v>
      </c>
      <c r="BC139" s="51">
        <f>AW139+AX139</f>
        <v>0</v>
      </c>
      <c r="BD139" s="51">
        <f>G139/(100-BE139)*100</f>
        <v>0</v>
      </c>
      <c r="BE139" s="51">
        <v>0</v>
      </c>
      <c r="BF139" s="51">
        <f>139</f>
        <v>139</v>
      </c>
      <c r="BH139" s="51">
        <f>F139*AO139</f>
        <v>0</v>
      </c>
      <c r="BI139" s="51">
        <f>F139*AP139</f>
        <v>0</v>
      </c>
      <c r="BJ139" s="51">
        <f>F139*G139</f>
        <v>0</v>
      </c>
      <c r="BK139" s="53" t="s">
        <v>118</v>
      </c>
      <c r="BL139" s="51">
        <v>711</v>
      </c>
      <c r="BW139" s="51">
        <v>12</v>
      </c>
      <c r="BX139" s="3" t="s">
        <v>363</v>
      </c>
    </row>
    <row r="140" spans="1:76" ht="13.5" customHeight="1">
      <c r="A140" s="54"/>
      <c r="B140" s="55" t="s">
        <v>119</v>
      </c>
      <c r="C140" s="152" t="s">
        <v>364</v>
      </c>
      <c r="D140" s="153"/>
      <c r="E140" s="153"/>
      <c r="F140" s="153"/>
      <c r="G140" s="154"/>
      <c r="H140" s="153"/>
      <c r="I140" s="153"/>
      <c r="J140" s="155"/>
    </row>
    <row r="141" spans="1:76">
      <c r="A141" s="54"/>
      <c r="C141" s="56" t="s">
        <v>365</v>
      </c>
      <c r="D141" s="57" t="s">
        <v>366</v>
      </c>
      <c r="F141" s="58">
        <v>5.3</v>
      </c>
      <c r="J141" s="41"/>
    </row>
    <row r="142" spans="1:76">
      <c r="A142" s="54"/>
      <c r="C142" s="56" t="s">
        <v>367</v>
      </c>
      <c r="D142" s="57" t="s">
        <v>368</v>
      </c>
      <c r="F142" s="58">
        <v>2.1</v>
      </c>
      <c r="J142" s="41"/>
    </row>
    <row r="143" spans="1:76">
      <c r="A143" s="1" t="s">
        <v>369</v>
      </c>
      <c r="B143" s="2" t="s">
        <v>370</v>
      </c>
      <c r="C143" s="75" t="s">
        <v>371</v>
      </c>
      <c r="D143" s="70"/>
      <c r="E143" s="2" t="s">
        <v>308</v>
      </c>
      <c r="F143" s="51">
        <v>3.3000000000000002E-2</v>
      </c>
      <c r="G143" s="52">
        <v>0</v>
      </c>
      <c r="H143" s="51">
        <f>ROUND(F143*G143,2)</f>
        <v>0</v>
      </c>
      <c r="J143" s="41"/>
      <c r="Z143" s="51">
        <f>ROUND(IF(AQ143="5",BJ143,0),2)</f>
        <v>0</v>
      </c>
      <c r="AB143" s="51">
        <f>ROUND(IF(AQ143="1",BH143,0),2)</f>
        <v>0</v>
      </c>
      <c r="AC143" s="51">
        <f>ROUND(IF(AQ143="1",BI143,0),2)</f>
        <v>0</v>
      </c>
      <c r="AD143" s="51">
        <f>ROUND(IF(AQ143="7",BH143,0),2)</f>
        <v>0</v>
      </c>
      <c r="AE143" s="51">
        <f>ROUND(IF(AQ143="7",BI143,0),2)</f>
        <v>0</v>
      </c>
      <c r="AF143" s="51">
        <f>ROUND(IF(AQ143="2",BH143,0),2)</f>
        <v>0</v>
      </c>
      <c r="AG143" s="51">
        <f>ROUND(IF(AQ143="2",BI143,0),2)</f>
        <v>0</v>
      </c>
      <c r="AH143" s="51">
        <f>ROUND(IF(AQ143="0",BJ143,0),2)</f>
        <v>0</v>
      </c>
      <c r="AI143" s="35" t="s">
        <v>4</v>
      </c>
      <c r="AJ143" s="51">
        <f>IF(AN143=0,H143,0)</f>
        <v>0</v>
      </c>
      <c r="AK143" s="51">
        <f>IF(AN143=12,H143,0)</f>
        <v>0</v>
      </c>
      <c r="AL143" s="51">
        <f>IF(AN143=21,H143,0)</f>
        <v>0</v>
      </c>
      <c r="AN143" s="51">
        <v>12</v>
      </c>
      <c r="AO143" s="51">
        <f>G143*0</f>
        <v>0</v>
      </c>
      <c r="AP143" s="51">
        <f>G143*(1-0)</f>
        <v>0</v>
      </c>
      <c r="AQ143" s="53" t="s">
        <v>138</v>
      </c>
      <c r="AV143" s="51">
        <f>ROUND(AW143+AX143,2)</f>
        <v>0</v>
      </c>
      <c r="AW143" s="51">
        <f>ROUND(F143*AO143,2)</f>
        <v>0</v>
      </c>
      <c r="AX143" s="51">
        <f>ROUND(F143*AP143,2)</f>
        <v>0</v>
      </c>
      <c r="AY143" s="53" t="s">
        <v>349</v>
      </c>
      <c r="AZ143" s="53" t="s">
        <v>350</v>
      </c>
      <c r="BA143" s="35" t="s">
        <v>117</v>
      </c>
      <c r="BC143" s="51">
        <f>AW143+AX143</f>
        <v>0</v>
      </c>
      <c r="BD143" s="51">
        <f>G143/(100-BE143)*100</f>
        <v>0</v>
      </c>
      <c r="BE143" s="51">
        <v>0</v>
      </c>
      <c r="BF143" s="51">
        <f>143</f>
        <v>143</v>
      </c>
      <c r="BH143" s="51">
        <f>F143*AO143</f>
        <v>0</v>
      </c>
      <c r="BI143" s="51">
        <f>F143*AP143</f>
        <v>0</v>
      </c>
      <c r="BJ143" s="51">
        <f>F143*G143</f>
        <v>0</v>
      </c>
      <c r="BK143" s="53" t="s">
        <v>118</v>
      </c>
      <c r="BL143" s="51">
        <v>711</v>
      </c>
      <c r="BW143" s="51">
        <v>12</v>
      </c>
      <c r="BX143" s="3" t="s">
        <v>371</v>
      </c>
    </row>
    <row r="144" spans="1:76">
      <c r="A144" s="47" t="s">
        <v>4</v>
      </c>
      <c r="B144" s="48" t="s">
        <v>372</v>
      </c>
      <c r="C144" s="150" t="s">
        <v>373</v>
      </c>
      <c r="D144" s="151"/>
      <c r="E144" s="49" t="s">
        <v>79</v>
      </c>
      <c r="F144" s="49" t="s">
        <v>79</v>
      </c>
      <c r="G144" s="50" t="s">
        <v>79</v>
      </c>
      <c r="H144" s="28">
        <f>SUM(H145:H158)</f>
        <v>0</v>
      </c>
      <c r="J144" s="41"/>
      <c r="AI144" s="35" t="s">
        <v>4</v>
      </c>
      <c r="AS144" s="28">
        <f>SUM(AJ145:AJ158)</f>
        <v>0</v>
      </c>
      <c r="AT144" s="28">
        <f>SUM(AK145:AK158)</f>
        <v>0</v>
      </c>
      <c r="AU144" s="28">
        <f>SUM(AL145:AL158)</f>
        <v>0</v>
      </c>
    </row>
    <row r="145" spans="1:76">
      <c r="A145" s="1" t="s">
        <v>374</v>
      </c>
      <c r="B145" s="2" t="s">
        <v>375</v>
      </c>
      <c r="C145" s="75" t="s">
        <v>376</v>
      </c>
      <c r="D145" s="70"/>
      <c r="E145" s="2" t="s">
        <v>114</v>
      </c>
      <c r="F145" s="51">
        <v>2</v>
      </c>
      <c r="G145" s="52">
        <v>0</v>
      </c>
      <c r="H145" s="51">
        <f t="shared" ref="H145:H154" si="0">ROUND(F145*G145,2)</f>
        <v>0</v>
      </c>
      <c r="J145" s="41"/>
      <c r="Z145" s="51">
        <f t="shared" ref="Z145:Z154" si="1">ROUND(IF(AQ145="5",BJ145,0),2)</f>
        <v>0</v>
      </c>
      <c r="AB145" s="51">
        <f t="shared" ref="AB145:AB154" si="2">ROUND(IF(AQ145="1",BH145,0),2)</f>
        <v>0</v>
      </c>
      <c r="AC145" s="51">
        <f t="shared" ref="AC145:AC154" si="3">ROUND(IF(AQ145="1",BI145,0),2)</f>
        <v>0</v>
      </c>
      <c r="AD145" s="51">
        <f t="shared" ref="AD145:AD154" si="4">ROUND(IF(AQ145="7",BH145,0),2)</f>
        <v>0</v>
      </c>
      <c r="AE145" s="51">
        <f t="shared" ref="AE145:AE154" si="5">ROUND(IF(AQ145="7",BI145,0),2)</f>
        <v>0</v>
      </c>
      <c r="AF145" s="51">
        <f t="shared" ref="AF145:AF154" si="6">ROUND(IF(AQ145="2",BH145,0),2)</f>
        <v>0</v>
      </c>
      <c r="AG145" s="51">
        <f t="shared" ref="AG145:AG154" si="7">ROUND(IF(AQ145="2",BI145,0),2)</f>
        <v>0</v>
      </c>
      <c r="AH145" s="51">
        <f t="shared" ref="AH145:AH154" si="8">ROUND(IF(AQ145="0",BJ145,0),2)</f>
        <v>0</v>
      </c>
      <c r="AI145" s="35" t="s">
        <v>4</v>
      </c>
      <c r="AJ145" s="51">
        <f t="shared" ref="AJ145:AJ154" si="9">IF(AN145=0,H145,0)</f>
        <v>0</v>
      </c>
      <c r="AK145" s="51">
        <f t="shared" ref="AK145:AK154" si="10">IF(AN145=12,H145,0)</f>
        <v>0</v>
      </c>
      <c r="AL145" s="51">
        <f t="shared" ref="AL145:AL154" si="11">IF(AN145=21,H145,0)</f>
        <v>0</v>
      </c>
      <c r="AN145" s="51">
        <v>12</v>
      </c>
      <c r="AO145" s="51">
        <f>G145*0.781812121</f>
        <v>0</v>
      </c>
      <c r="AP145" s="51">
        <f>G145*(1-0.781812121)</f>
        <v>0</v>
      </c>
      <c r="AQ145" s="53" t="s">
        <v>149</v>
      </c>
      <c r="AV145" s="51">
        <f t="shared" ref="AV145:AV154" si="12">ROUND(AW145+AX145,2)</f>
        <v>0</v>
      </c>
      <c r="AW145" s="51">
        <f t="shared" ref="AW145:AW154" si="13">ROUND(F145*AO145,2)</f>
        <v>0</v>
      </c>
      <c r="AX145" s="51">
        <f t="shared" ref="AX145:AX154" si="14">ROUND(F145*AP145,2)</f>
        <v>0</v>
      </c>
      <c r="AY145" s="53" t="s">
        <v>377</v>
      </c>
      <c r="AZ145" s="53" t="s">
        <v>378</v>
      </c>
      <c r="BA145" s="35" t="s">
        <v>117</v>
      </c>
      <c r="BC145" s="51">
        <f t="shared" ref="BC145:BC154" si="15">AW145+AX145</f>
        <v>0</v>
      </c>
      <c r="BD145" s="51">
        <f t="shared" ref="BD145:BD154" si="16">G145/(100-BE145)*100</f>
        <v>0</v>
      </c>
      <c r="BE145" s="51">
        <v>0</v>
      </c>
      <c r="BF145" s="51">
        <f>145</f>
        <v>145</v>
      </c>
      <c r="BH145" s="51">
        <f t="shared" ref="BH145:BH154" si="17">F145*AO145</f>
        <v>0</v>
      </c>
      <c r="BI145" s="51">
        <f t="shared" ref="BI145:BI154" si="18">F145*AP145</f>
        <v>0</v>
      </c>
      <c r="BJ145" s="51">
        <f t="shared" ref="BJ145:BJ154" si="19">F145*G145</f>
        <v>0</v>
      </c>
      <c r="BK145" s="53" t="s">
        <v>118</v>
      </c>
      <c r="BL145" s="51">
        <v>721</v>
      </c>
      <c r="BW145" s="51">
        <v>12</v>
      </c>
      <c r="BX145" s="3" t="s">
        <v>376</v>
      </c>
    </row>
    <row r="146" spans="1:76">
      <c r="A146" s="1" t="s">
        <v>379</v>
      </c>
      <c r="B146" s="2" t="s">
        <v>380</v>
      </c>
      <c r="C146" s="75" t="s">
        <v>381</v>
      </c>
      <c r="D146" s="70"/>
      <c r="E146" s="2" t="s">
        <v>135</v>
      </c>
      <c r="F146" s="51">
        <v>1</v>
      </c>
      <c r="G146" s="52">
        <v>0</v>
      </c>
      <c r="H146" s="51">
        <f t="shared" si="0"/>
        <v>0</v>
      </c>
      <c r="J146" s="41"/>
      <c r="Z146" s="51">
        <f t="shared" si="1"/>
        <v>0</v>
      </c>
      <c r="AB146" s="51">
        <f t="shared" si="2"/>
        <v>0</v>
      </c>
      <c r="AC146" s="51">
        <f t="shared" si="3"/>
        <v>0</v>
      </c>
      <c r="AD146" s="51">
        <f t="shared" si="4"/>
        <v>0</v>
      </c>
      <c r="AE146" s="51">
        <f t="shared" si="5"/>
        <v>0</v>
      </c>
      <c r="AF146" s="51">
        <f t="shared" si="6"/>
        <v>0</v>
      </c>
      <c r="AG146" s="51">
        <f t="shared" si="7"/>
        <v>0</v>
      </c>
      <c r="AH146" s="51">
        <f t="shared" si="8"/>
        <v>0</v>
      </c>
      <c r="AI146" s="35" t="s">
        <v>4</v>
      </c>
      <c r="AJ146" s="51">
        <f t="shared" si="9"/>
        <v>0</v>
      </c>
      <c r="AK146" s="51">
        <f t="shared" si="10"/>
        <v>0</v>
      </c>
      <c r="AL146" s="51">
        <f t="shared" si="11"/>
        <v>0</v>
      </c>
      <c r="AN146" s="51">
        <v>12</v>
      </c>
      <c r="AO146" s="51">
        <f>G146*0</f>
        <v>0</v>
      </c>
      <c r="AP146" s="51">
        <f>G146*(1-0)</f>
        <v>0</v>
      </c>
      <c r="AQ146" s="53" t="s">
        <v>149</v>
      </c>
      <c r="AV146" s="51">
        <f t="shared" si="12"/>
        <v>0</v>
      </c>
      <c r="AW146" s="51">
        <f t="shared" si="13"/>
        <v>0</v>
      </c>
      <c r="AX146" s="51">
        <f t="shared" si="14"/>
        <v>0</v>
      </c>
      <c r="AY146" s="53" t="s">
        <v>377</v>
      </c>
      <c r="AZ146" s="53" t="s">
        <v>378</v>
      </c>
      <c r="BA146" s="35" t="s">
        <v>117</v>
      </c>
      <c r="BC146" s="51">
        <f t="shared" si="15"/>
        <v>0</v>
      </c>
      <c r="BD146" s="51">
        <f t="shared" si="16"/>
        <v>0</v>
      </c>
      <c r="BE146" s="51">
        <v>0</v>
      </c>
      <c r="BF146" s="51">
        <f>146</f>
        <v>146</v>
      </c>
      <c r="BH146" s="51">
        <f t="shared" si="17"/>
        <v>0</v>
      </c>
      <c r="BI146" s="51">
        <f t="shared" si="18"/>
        <v>0</v>
      </c>
      <c r="BJ146" s="51">
        <f t="shared" si="19"/>
        <v>0</v>
      </c>
      <c r="BK146" s="53" t="s">
        <v>118</v>
      </c>
      <c r="BL146" s="51">
        <v>721</v>
      </c>
      <c r="BW146" s="51">
        <v>12</v>
      </c>
      <c r="BX146" s="3" t="s">
        <v>381</v>
      </c>
    </row>
    <row r="147" spans="1:76">
      <c r="A147" s="1" t="s">
        <v>382</v>
      </c>
      <c r="B147" s="2" t="s">
        <v>383</v>
      </c>
      <c r="C147" s="75" t="s">
        <v>384</v>
      </c>
      <c r="D147" s="70"/>
      <c r="E147" s="2" t="s">
        <v>135</v>
      </c>
      <c r="F147" s="51">
        <v>6</v>
      </c>
      <c r="G147" s="52">
        <v>0</v>
      </c>
      <c r="H147" s="51">
        <f t="shared" si="0"/>
        <v>0</v>
      </c>
      <c r="J147" s="41"/>
      <c r="Z147" s="51">
        <f t="shared" si="1"/>
        <v>0</v>
      </c>
      <c r="AB147" s="51">
        <f t="shared" si="2"/>
        <v>0</v>
      </c>
      <c r="AC147" s="51">
        <f t="shared" si="3"/>
        <v>0</v>
      </c>
      <c r="AD147" s="51">
        <f t="shared" si="4"/>
        <v>0</v>
      </c>
      <c r="AE147" s="51">
        <f t="shared" si="5"/>
        <v>0</v>
      </c>
      <c r="AF147" s="51">
        <f t="shared" si="6"/>
        <v>0</v>
      </c>
      <c r="AG147" s="51">
        <f t="shared" si="7"/>
        <v>0</v>
      </c>
      <c r="AH147" s="51">
        <f t="shared" si="8"/>
        <v>0</v>
      </c>
      <c r="AI147" s="35" t="s">
        <v>4</v>
      </c>
      <c r="AJ147" s="51">
        <f t="shared" si="9"/>
        <v>0</v>
      </c>
      <c r="AK147" s="51">
        <f t="shared" si="10"/>
        <v>0</v>
      </c>
      <c r="AL147" s="51">
        <f t="shared" si="11"/>
        <v>0</v>
      </c>
      <c r="AN147" s="51">
        <v>12</v>
      </c>
      <c r="AO147" s="51">
        <f>G147*0</f>
        <v>0</v>
      </c>
      <c r="AP147" s="51">
        <f>G147*(1-0)</f>
        <v>0</v>
      </c>
      <c r="AQ147" s="53" t="s">
        <v>149</v>
      </c>
      <c r="AV147" s="51">
        <f t="shared" si="12"/>
        <v>0</v>
      </c>
      <c r="AW147" s="51">
        <f t="shared" si="13"/>
        <v>0</v>
      </c>
      <c r="AX147" s="51">
        <f t="shared" si="14"/>
        <v>0</v>
      </c>
      <c r="AY147" s="53" t="s">
        <v>377</v>
      </c>
      <c r="AZ147" s="53" t="s">
        <v>378</v>
      </c>
      <c r="BA147" s="35" t="s">
        <v>117</v>
      </c>
      <c r="BC147" s="51">
        <f t="shared" si="15"/>
        <v>0</v>
      </c>
      <c r="BD147" s="51">
        <f t="shared" si="16"/>
        <v>0</v>
      </c>
      <c r="BE147" s="51">
        <v>0</v>
      </c>
      <c r="BF147" s="51">
        <f>147</f>
        <v>147</v>
      </c>
      <c r="BH147" s="51">
        <f t="shared" si="17"/>
        <v>0</v>
      </c>
      <c r="BI147" s="51">
        <f t="shared" si="18"/>
        <v>0</v>
      </c>
      <c r="BJ147" s="51">
        <f t="shared" si="19"/>
        <v>0</v>
      </c>
      <c r="BK147" s="53" t="s">
        <v>118</v>
      </c>
      <c r="BL147" s="51">
        <v>721</v>
      </c>
      <c r="BW147" s="51">
        <v>12</v>
      </c>
      <c r="BX147" s="3" t="s">
        <v>384</v>
      </c>
    </row>
    <row r="148" spans="1:76">
      <c r="A148" s="1" t="s">
        <v>385</v>
      </c>
      <c r="B148" s="2" t="s">
        <v>386</v>
      </c>
      <c r="C148" s="75" t="s">
        <v>387</v>
      </c>
      <c r="D148" s="70"/>
      <c r="E148" s="2" t="s">
        <v>135</v>
      </c>
      <c r="F148" s="51">
        <v>1.9</v>
      </c>
      <c r="G148" s="52">
        <v>0</v>
      </c>
      <c r="H148" s="51">
        <f t="shared" si="0"/>
        <v>0</v>
      </c>
      <c r="J148" s="41"/>
      <c r="Z148" s="51">
        <f t="shared" si="1"/>
        <v>0</v>
      </c>
      <c r="AB148" s="51">
        <f t="shared" si="2"/>
        <v>0</v>
      </c>
      <c r="AC148" s="51">
        <f t="shared" si="3"/>
        <v>0</v>
      </c>
      <c r="AD148" s="51">
        <f t="shared" si="4"/>
        <v>0</v>
      </c>
      <c r="AE148" s="51">
        <f t="shared" si="5"/>
        <v>0</v>
      </c>
      <c r="AF148" s="51">
        <f t="shared" si="6"/>
        <v>0</v>
      </c>
      <c r="AG148" s="51">
        <f t="shared" si="7"/>
        <v>0</v>
      </c>
      <c r="AH148" s="51">
        <f t="shared" si="8"/>
        <v>0</v>
      </c>
      <c r="AI148" s="35" t="s">
        <v>4</v>
      </c>
      <c r="AJ148" s="51">
        <f t="shared" si="9"/>
        <v>0</v>
      </c>
      <c r="AK148" s="51">
        <f t="shared" si="10"/>
        <v>0</v>
      </c>
      <c r="AL148" s="51">
        <f t="shared" si="11"/>
        <v>0</v>
      </c>
      <c r="AN148" s="51">
        <v>12</v>
      </c>
      <c r="AO148" s="51">
        <f>G148*0.25916934</f>
        <v>0</v>
      </c>
      <c r="AP148" s="51">
        <f>G148*(1-0.25916934)</f>
        <v>0</v>
      </c>
      <c r="AQ148" s="53" t="s">
        <v>149</v>
      </c>
      <c r="AV148" s="51">
        <f t="shared" si="12"/>
        <v>0</v>
      </c>
      <c r="AW148" s="51">
        <f t="shared" si="13"/>
        <v>0</v>
      </c>
      <c r="AX148" s="51">
        <f t="shared" si="14"/>
        <v>0</v>
      </c>
      <c r="AY148" s="53" t="s">
        <v>377</v>
      </c>
      <c r="AZ148" s="53" t="s">
        <v>378</v>
      </c>
      <c r="BA148" s="35" t="s">
        <v>117</v>
      </c>
      <c r="BC148" s="51">
        <f t="shared" si="15"/>
        <v>0</v>
      </c>
      <c r="BD148" s="51">
        <f t="shared" si="16"/>
        <v>0</v>
      </c>
      <c r="BE148" s="51">
        <v>0</v>
      </c>
      <c r="BF148" s="51">
        <f>148</f>
        <v>148</v>
      </c>
      <c r="BH148" s="51">
        <f t="shared" si="17"/>
        <v>0</v>
      </c>
      <c r="BI148" s="51">
        <f t="shared" si="18"/>
        <v>0</v>
      </c>
      <c r="BJ148" s="51">
        <f t="shared" si="19"/>
        <v>0</v>
      </c>
      <c r="BK148" s="53" t="s">
        <v>118</v>
      </c>
      <c r="BL148" s="51">
        <v>721</v>
      </c>
      <c r="BW148" s="51">
        <v>12</v>
      </c>
      <c r="BX148" s="3" t="s">
        <v>387</v>
      </c>
    </row>
    <row r="149" spans="1:76">
      <c r="A149" s="1" t="s">
        <v>388</v>
      </c>
      <c r="B149" s="2" t="s">
        <v>389</v>
      </c>
      <c r="C149" s="75" t="s">
        <v>390</v>
      </c>
      <c r="D149" s="70"/>
      <c r="E149" s="2" t="s">
        <v>135</v>
      </c>
      <c r="F149" s="51">
        <v>3.2</v>
      </c>
      <c r="G149" s="52">
        <v>0</v>
      </c>
      <c r="H149" s="51">
        <f t="shared" si="0"/>
        <v>0</v>
      </c>
      <c r="J149" s="41"/>
      <c r="Z149" s="51">
        <f t="shared" si="1"/>
        <v>0</v>
      </c>
      <c r="AB149" s="51">
        <f t="shared" si="2"/>
        <v>0</v>
      </c>
      <c r="AC149" s="51">
        <f t="shared" si="3"/>
        <v>0</v>
      </c>
      <c r="AD149" s="51">
        <f t="shared" si="4"/>
        <v>0</v>
      </c>
      <c r="AE149" s="51">
        <f t="shared" si="5"/>
        <v>0</v>
      </c>
      <c r="AF149" s="51">
        <f t="shared" si="6"/>
        <v>0</v>
      </c>
      <c r="AG149" s="51">
        <f t="shared" si="7"/>
        <v>0</v>
      </c>
      <c r="AH149" s="51">
        <f t="shared" si="8"/>
        <v>0</v>
      </c>
      <c r="AI149" s="35" t="s">
        <v>4</v>
      </c>
      <c r="AJ149" s="51">
        <f t="shared" si="9"/>
        <v>0</v>
      </c>
      <c r="AK149" s="51">
        <f t="shared" si="10"/>
        <v>0</v>
      </c>
      <c r="AL149" s="51">
        <f t="shared" si="11"/>
        <v>0</v>
      </c>
      <c r="AN149" s="51">
        <v>12</v>
      </c>
      <c r="AO149" s="51">
        <f>G149*0.268268159</f>
        <v>0</v>
      </c>
      <c r="AP149" s="51">
        <f>G149*(1-0.268268159)</f>
        <v>0</v>
      </c>
      <c r="AQ149" s="53" t="s">
        <v>149</v>
      </c>
      <c r="AV149" s="51">
        <f t="shared" si="12"/>
        <v>0</v>
      </c>
      <c r="AW149" s="51">
        <f t="shared" si="13"/>
        <v>0</v>
      </c>
      <c r="AX149" s="51">
        <f t="shared" si="14"/>
        <v>0</v>
      </c>
      <c r="AY149" s="53" t="s">
        <v>377</v>
      </c>
      <c r="AZ149" s="53" t="s">
        <v>378</v>
      </c>
      <c r="BA149" s="35" t="s">
        <v>117</v>
      </c>
      <c r="BC149" s="51">
        <f t="shared" si="15"/>
        <v>0</v>
      </c>
      <c r="BD149" s="51">
        <f t="shared" si="16"/>
        <v>0</v>
      </c>
      <c r="BE149" s="51">
        <v>0</v>
      </c>
      <c r="BF149" s="51">
        <f>149</f>
        <v>149</v>
      </c>
      <c r="BH149" s="51">
        <f t="shared" si="17"/>
        <v>0</v>
      </c>
      <c r="BI149" s="51">
        <f t="shared" si="18"/>
        <v>0</v>
      </c>
      <c r="BJ149" s="51">
        <f t="shared" si="19"/>
        <v>0</v>
      </c>
      <c r="BK149" s="53" t="s">
        <v>118</v>
      </c>
      <c r="BL149" s="51">
        <v>721</v>
      </c>
      <c r="BW149" s="51">
        <v>12</v>
      </c>
      <c r="BX149" s="3" t="s">
        <v>390</v>
      </c>
    </row>
    <row r="150" spans="1:76">
      <c r="A150" s="1" t="s">
        <v>391</v>
      </c>
      <c r="B150" s="2" t="s">
        <v>392</v>
      </c>
      <c r="C150" s="75" t="s">
        <v>393</v>
      </c>
      <c r="D150" s="70"/>
      <c r="E150" s="2" t="s">
        <v>135</v>
      </c>
      <c r="F150" s="51">
        <v>1</v>
      </c>
      <c r="G150" s="52">
        <v>0</v>
      </c>
      <c r="H150" s="51">
        <f t="shared" si="0"/>
        <v>0</v>
      </c>
      <c r="J150" s="41"/>
      <c r="Z150" s="51">
        <f t="shared" si="1"/>
        <v>0</v>
      </c>
      <c r="AB150" s="51">
        <f t="shared" si="2"/>
        <v>0</v>
      </c>
      <c r="AC150" s="51">
        <f t="shared" si="3"/>
        <v>0</v>
      </c>
      <c r="AD150" s="51">
        <f t="shared" si="4"/>
        <v>0</v>
      </c>
      <c r="AE150" s="51">
        <f t="shared" si="5"/>
        <v>0</v>
      </c>
      <c r="AF150" s="51">
        <f t="shared" si="6"/>
        <v>0</v>
      </c>
      <c r="AG150" s="51">
        <f t="shared" si="7"/>
        <v>0</v>
      </c>
      <c r="AH150" s="51">
        <f t="shared" si="8"/>
        <v>0</v>
      </c>
      <c r="AI150" s="35" t="s">
        <v>4</v>
      </c>
      <c r="AJ150" s="51">
        <f t="shared" si="9"/>
        <v>0</v>
      </c>
      <c r="AK150" s="51">
        <f t="shared" si="10"/>
        <v>0</v>
      </c>
      <c r="AL150" s="51">
        <f t="shared" si="11"/>
        <v>0</v>
      </c>
      <c r="AN150" s="51">
        <v>12</v>
      </c>
      <c r="AO150" s="51">
        <f>G150*0.244082569</f>
        <v>0</v>
      </c>
      <c r="AP150" s="51">
        <f>G150*(1-0.244082569)</f>
        <v>0</v>
      </c>
      <c r="AQ150" s="53" t="s">
        <v>149</v>
      </c>
      <c r="AV150" s="51">
        <f t="shared" si="12"/>
        <v>0</v>
      </c>
      <c r="AW150" s="51">
        <f t="shared" si="13"/>
        <v>0</v>
      </c>
      <c r="AX150" s="51">
        <f t="shared" si="14"/>
        <v>0</v>
      </c>
      <c r="AY150" s="53" t="s">
        <v>377</v>
      </c>
      <c r="AZ150" s="53" t="s">
        <v>378</v>
      </c>
      <c r="BA150" s="35" t="s">
        <v>117</v>
      </c>
      <c r="BC150" s="51">
        <f t="shared" si="15"/>
        <v>0</v>
      </c>
      <c r="BD150" s="51">
        <f t="shared" si="16"/>
        <v>0</v>
      </c>
      <c r="BE150" s="51">
        <v>0</v>
      </c>
      <c r="BF150" s="51">
        <f>150</f>
        <v>150</v>
      </c>
      <c r="BH150" s="51">
        <f t="shared" si="17"/>
        <v>0</v>
      </c>
      <c r="BI150" s="51">
        <f t="shared" si="18"/>
        <v>0</v>
      </c>
      <c r="BJ150" s="51">
        <f t="shared" si="19"/>
        <v>0</v>
      </c>
      <c r="BK150" s="53" t="s">
        <v>118</v>
      </c>
      <c r="BL150" s="51">
        <v>721</v>
      </c>
      <c r="BW150" s="51">
        <v>12</v>
      </c>
      <c r="BX150" s="3" t="s">
        <v>393</v>
      </c>
    </row>
    <row r="151" spans="1:76">
      <c r="A151" s="1" t="s">
        <v>394</v>
      </c>
      <c r="B151" s="2" t="s">
        <v>395</v>
      </c>
      <c r="C151" s="75" t="s">
        <v>396</v>
      </c>
      <c r="D151" s="70"/>
      <c r="E151" s="2" t="s">
        <v>135</v>
      </c>
      <c r="F151" s="51">
        <v>0.5</v>
      </c>
      <c r="G151" s="52">
        <v>0</v>
      </c>
      <c r="H151" s="51">
        <f t="shared" si="0"/>
        <v>0</v>
      </c>
      <c r="J151" s="41"/>
      <c r="Z151" s="51">
        <f t="shared" si="1"/>
        <v>0</v>
      </c>
      <c r="AB151" s="51">
        <f t="shared" si="2"/>
        <v>0</v>
      </c>
      <c r="AC151" s="51">
        <f t="shared" si="3"/>
        <v>0</v>
      </c>
      <c r="AD151" s="51">
        <f t="shared" si="4"/>
        <v>0</v>
      </c>
      <c r="AE151" s="51">
        <f t="shared" si="5"/>
        <v>0</v>
      </c>
      <c r="AF151" s="51">
        <f t="shared" si="6"/>
        <v>0</v>
      </c>
      <c r="AG151" s="51">
        <f t="shared" si="7"/>
        <v>0</v>
      </c>
      <c r="AH151" s="51">
        <f t="shared" si="8"/>
        <v>0</v>
      </c>
      <c r="AI151" s="35" t="s">
        <v>4</v>
      </c>
      <c r="AJ151" s="51">
        <f t="shared" si="9"/>
        <v>0</v>
      </c>
      <c r="AK151" s="51">
        <f t="shared" si="10"/>
        <v>0</v>
      </c>
      <c r="AL151" s="51">
        <f t="shared" si="11"/>
        <v>0</v>
      </c>
      <c r="AN151" s="51">
        <v>12</v>
      </c>
      <c r="AO151" s="51">
        <f>G151*0.349406286</f>
        <v>0</v>
      </c>
      <c r="AP151" s="51">
        <f>G151*(1-0.349406286)</f>
        <v>0</v>
      </c>
      <c r="AQ151" s="53" t="s">
        <v>149</v>
      </c>
      <c r="AV151" s="51">
        <f t="shared" si="12"/>
        <v>0</v>
      </c>
      <c r="AW151" s="51">
        <f t="shared" si="13"/>
        <v>0</v>
      </c>
      <c r="AX151" s="51">
        <f t="shared" si="14"/>
        <v>0</v>
      </c>
      <c r="AY151" s="53" t="s">
        <v>377</v>
      </c>
      <c r="AZ151" s="53" t="s">
        <v>378</v>
      </c>
      <c r="BA151" s="35" t="s">
        <v>117</v>
      </c>
      <c r="BC151" s="51">
        <f t="shared" si="15"/>
        <v>0</v>
      </c>
      <c r="BD151" s="51">
        <f t="shared" si="16"/>
        <v>0</v>
      </c>
      <c r="BE151" s="51">
        <v>0</v>
      </c>
      <c r="BF151" s="51">
        <f>151</f>
        <v>151</v>
      </c>
      <c r="BH151" s="51">
        <f t="shared" si="17"/>
        <v>0</v>
      </c>
      <c r="BI151" s="51">
        <f t="shared" si="18"/>
        <v>0</v>
      </c>
      <c r="BJ151" s="51">
        <f t="shared" si="19"/>
        <v>0</v>
      </c>
      <c r="BK151" s="53" t="s">
        <v>118</v>
      </c>
      <c r="BL151" s="51">
        <v>721</v>
      </c>
      <c r="BW151" s="51">
        <v>12</v>
      </c>
      <c r="BX151" s="3" t="s">
        <v>396</v>
      </c>
    </row>
    <row r="152" spans="1:76">
      <c r="A152" s="1" t="s">
        <v>397</v>
      </c>
      <c r="B152" s="2" t="s">
        <v>398</v>
      </c>
      <c r="C152" s="75" t="s">
        <v>399</v>
      </c>
      <c r="D152" s="70"/>
      <c r="E152" s="2" t="s">
        <v>114</v>
      </c>
      <c r="F152" s="51">
        <v>4</v>
      </c>
      <c r="G152" s="52">
        <v>0</v>
      </c>
      <c r="H152" s="51">
        <f t="shared" si="0"/>
        <v>0</v>
      </c>
      <c r="J152" s="41"/>
      <c r="Z152" s="51">
        <f t="shared" si="1"/>
        <v>0</v>
      </c>
      <c r="AB152" s="51">
        <f t="shared" si="2"/>
        <v>0</v>
      </c>
      <c r="AC152" s="51">
        <f t="shared" si="3"/>
        <v>0</v>
      </c>
      <c r="AD152" s="51">
        <f t="shared" si="4"/>
        <v>0</v>
      </c>
      <c r="AE152" s="51">
        <f t="shared" si="5"/>
        <v>0</v>
      </c>
      <c r="AF152" s="51">
        <f t="shared" si="6"/>
        <v>0</v>
      </c>
      <c r="AG152" s="51">
        <f t="shared" si="7"/>
        <v>0</v>
      </c>
      <c r="AH152" s="51">
        <f t="shared" si="8"/>
        <v>0</v>
      </c>
      <c r="AI152" s="35" t="s">
        <v>4</v>
      </c>
      <c r="AJ152" s="51">
        <f t="shared" si="9"/>
        <v>0</v>
      </c>
      <c r="AK152" s="51">
        <f t="shared" si="10"/>
        <v>0</v>
      </c>
      <c r="AL152" s="51">
        <f t="shared" si="11"/>
        <v>0</v>
      </c>
      <c r="AN152" s="51">
        <v>12</v>
      </c>
      <c r="AO152" s="51">
        <f>G152*0</f>
        <v>0</v>
      </c>
      <c r="AP152" s="51">
        <f>G152*(1-0)</f>
        <v>0</v>
      </c>
      <c r="AQ152" s="53" t="s">
        <v>149</v>
      </c>
      <c r="AV152" s="51">
        <f t="shared" si="12"/>
        <v>0</v>
      </c>
      <c r="AW152" s="51">
        <f t="shared" si="13"/>
        <v>0</v>
      </c>
      <c r="AX152" s="51">
        <f t="shared" si="14"/>
        <v>0</v>
      </c>
      <c r="AY152" s="53" t="s">
        <v>377</v>
      </c>
      <c r="AZ152" s="53" t="s">
        <v>378</v>
      </c>
      <c r="BA152" s="35" t="s">
        <v>117</v>
      </c>
      <c r="BC152" s="51">
        <f t="shared" si="15"/>
        <v>0</v>
      </c>
      <c r="BD152" s="51">
        <f t="shared" si="16"/>
        <v>0</v>
      </c>
      <c r="BE152" s="51">
        <v>0</v>
      </c>
      <c r="BF152" s="51">
        <f>152</f>
        <v>152</v>
      </c>
      <c r="BH152" s="51">
        <f t="shared" si="17"/>
        <v>0</v>
      </c>
      <c r="BI152" s="51">
        <f t="shared" si="18"/>
        <v>0</v>
      </c>
      <c r="BJ152" s="51">
        <f t="shared" si="19"/>
        <v>0</v>
      </c>
      <c r="BK152" s="53" t="s">
        <v>118</v>
      </c>
      <c r="BL152" s="51">
        <v>721</v>
      </c>
      <c r="BW152" s="51">
        <v>12</v>
      </c>
      <c r="BX152" s="3" t="s">
        <v>399</v>
      </c>
    </row>
    <row r="153" spans="1:76">
      <c r="A153" s="1" t="s">
        <v>400</v>
      </c>
      <c r="B153" s="2" t="s">
        <v>401</v>
      </c>
      <c r="C153" s="75" t="s">
        <v>402</v>
      </c>
      <c r="D153" s="70"/>
      <c r="E153" s="2" t="s">
        <v>114</v>
      </c>
      <c r="F153" s="51">
        <v>1</v>
      </c>
      <c r="G153" s="52">
        <v>0</v>
      </c>
      <c r="H153" s="51">
        <f t="shared" si="0"/>
        <v>0</v>
      </c>
      <c r="J153" s="41"/>
      <c r="Z153" s="51">
        <f t="shared" si="1"/>
        <v>0</v>
      </c>
      <c r="AB153" s="51">
        <f t="shared" si="2"/>
        <v>0</v>
      </c>
      <c r="AC153" s="51">
        <f t="shared" si="3"/>
        <v>0</v>
      </c>
      <c r="AD153" s="51">
        <f t="shared" si="4"/>
        <v>0</v>
      </c>
      <c r="AE153" s="51">
        <f t="shared" si="5"/>
        <v>0</v>
      </c>
      <c r="AF153" s="51">
        <f t="shared" si="6"/>
        <v>0</v>
      </c>
      <c r="AG153" s="51">
        <f t="shared" si="7"/>
        <v>0</v>
      </c>
      <c r="AH153" s="51">
        <f t="shared" si="8"/>
        <v>0</v>
      </c>
      <c r="AI153" s="35" t="s">
        <v>4</v>
      </c>
      <c r="AJ153" s="51">
        <f t="shared" si="9"/>
        <v>0</v>
      </c>
      <c r="AK153" s="51">
        <f t="shared" si="10"/>
        <v>0</v>
      </c>
      <c r="AL153" s="51">
        <f t="shared" si="11"/>
        <v>0</v>
      </c>
      <c r="AN153" s="51">
        <v>12</v>
      </c>
      <c r="AO153" s="51">
        <f>G153*0</f>
        <v>0</v>
      </c>
      <c r="AP153" s="51">
        <f>G153*(1-0)</f>
        <v>0</v>
      </c>
      <c r="AQ153" s="53" t="s">
        <v>149</v>
      </c>
      <c r="AV153" s="51">
        <f t="shared" si="12"/>
        <v>0</v>
      </c>
      <c r="AW153" s="51">
        <f t="shared" si="13"/>
        <v>0</v>
      </c>
      <c r="AX153" s="51">
        <f t="shared" si="14"/>
        <v>0</v>
      </c>
      <c r="AY153" s="53" t="s">
        <v>377</v>
      </c>
      <c r="AZ153" s="53" t="s">
        <v>378</v>
      </c>
      <c r="BA153" s="35" t="s">
        <v>117</v>
      </c>
      <c r="BC153" s="51">
        <f t="shared" si="15"/>
        <v>0</v>
      </c>
      <c r="BD153" s="51">
        <f t="shared" si="16"/>
        <v>0</v>
      </c>
      <c r="BE153" s="51">
        <v>0</v>
      </c>
      <c r="BF153" s="51">
        <f>153</f>
        <v>153</v>
      </c>
      <c r="BH153" s="51">
        <f t="shared" si="17"/>
        <v>0</v>
      </c>
      <c r="BI153" s="51">
        <f t="shared" si="18"/>
        <v>0</v>
      </c>
      <c r="BJ153" s="51">
        <f t="shared" si="19"/>
        <v>0</v>
      </c>
      <c r="BK153" s="53" t="s">
        <v>118</v>
      </c>
      <c r="BL153" s="51">
        <v>721</v>
      </c>
      <c r="BW153" s="51">
        <v>12</v>
      </c>
      <c r="BX153" s="3" t="s">
        <v>402</v>
      </c>
    </row>
    <row r="154" spans="1:76">
      <c r="A154" s="1" t="s">
        <v>403</v>
      </c>
      <c r="B154" s="2" t="s">
        <v>404</v>
      </c>
      <c r="C154" s="75" t="s">
        <v>405</v>
      </c>
      <c r="D154" s="70"/>
      <c r="E154" s="2" t="s">
        <v>135</v>
      </c>
      <c r="F154" s="51">
        <v>6.1</v>
      </c>
      <c r="G154" s="52">
        <v>0</v>
      </c>
      <c r="H154" s="51">
        <f t="shared" si="0"/>
        <v>0</v>
      </c>
      <c r="J154" s="41"/>
      <c r="Z154" s="51">
        <f t="shared" si="1"/>
        <v>0</v>
      </c>
      <c r="AB154" s="51">
        <f t="shared" si="2"/>
        <v>0</v>
      </c>
      <c r="AC154" s="51">
        <f t="shared" si="3"/>
        <v>0</v>
      </c>
      <c r="AD154" s="51">
        <f t="shared" si="4"/>
        <v>0</v>
      </c>
      <c r="AE154" s="51">
        <f t="shared" si="5"/>
        <v>0</v>
      </c>
      <c r="AF154" s="51">
        <f t="shared" si="6"/>
        <v>0</v>
      </c>
      <c r="AG154" s="51">
        <f t="shared" si="7"/>
        <v>0</v>
      </c>
      <c r="AH154" s="51">
        <f t="shared" si="8"/>
        <v>0</v>
      </c>
      <c r="AI154" s="35" t="s">
        <v>4</v>
      </c>
      <c r="AJ154" s="51">
        <f t="shared" si="9"/>
        <v>0</v>
      </c>
      <c r="AK154" s="51">
        <f t="shared" si="10"/>
        <v>0</v>
      </c>
      <c r="AL154" s="51">
        <f t="shared" si="11"/>
        <v>0</v>
      </c>
      <c r="AN154" s="51">
        <v>12</v>
      </c>
      <c r="AO154" s="51">
        <f>G154*0</f>
        <v>0</v>
      </c>
      <c r="AP154" s="51">
        <f>G154*(1-0)</f>
        <v>0</v>
      </c>
      <c r="AQ154" s="53" t="s">
        <v>121</v>
      </c>
      <c r="AV154" s="51">
        <f t="shared" si="12"/>
        <v>0</v>
      </c>
      <c r="AW154" s="51">
        <f t="shared" si="13"/>
        <v>0</v>
      </c>
      <c r="AX154" s="51">
        <f t="shared" si="14"/>
        <v>0</v>
      </c>
      <c r="AY154" s="53" t="s">
        <v>377</v>
      </c>
      <c r="AZ154" s="53" t="s">
        <v>378</v>
      </c>
      <c r="BA154" s="35" t="s">
        <v>117</v>
      </c>
      <c r="BC154" s="51">
        <f t="shared" si="15"/>
        <v>0</v>
      </c>
      <c r="BD154" s="51">
        <f t="shared" si="16"/>
        <v>0</v>
      </c>
      <c r="BE154" s="51">
        <v>0</v>
      </c>
      <c r="BF154" s="51">
        <f>154</f>
        <v>154</v>
      </c>
      <c r="BH154" s="51">
        <f t="shared" si="17"/>
        <v>0</v>
      </c>
      <c r="BI154" s="51">
        <f t="shared" si="18"/>
        <v>0</v>
      </c>
      <c r="BJ154" s="51">
        <f t="shared" si="19"/>
        <v>0</v>
      </c>
      <c r="BK154" s="53" t="s">
        <v>118</v>
      </c>
      <c r="BL154" s="51">
        <v>721</v>
      </c>
      <c r="BW154" s="51">
        <v>12</v>
      </c>
      <c r="BX154" s="3" t="s">
        <v>405</v>
      </c>
    </row>
    <row r="155" spans="1:76">
      <c r="A155" s="54"/>
      <c r="C155" s="56" t="s">
        <v>406</v>
      </c>
      <c r="D155" s="57" t="s">
        <v>4</v>
      </c>
      <c r="F155" s="58">
        <v>6.1</v>
      </c>
      <c r="J155" s="41"/>
    </row>
    <row r="156" spans="1:76">
      <c r="A156" s="1" t="s">
        <v>407</v>
      </c>
      <c r="B156" s="2" t="s">
        <v>408</v>
      </c>
      <c r="C156" s="75" t="s">
        <v>409</v>
      </c>
      <c r="D156" s="70"/>
      <c r="E156" s="2" t="s">
        <v>135</v>
      </c>
      <c r="F156" s="51">
        <v>6.1</v>
      </c>
      <c r="G156" s="52">
        <v>0</v>
      </c>
      <c r="H156" s="51">
        <f>ROUND(F156*G156,2)</f>
        <v>0</v>
      </c>
      <c r="J156" s="41"/>
      <c r="Z156" s="51">
        <f>ROUND(IF(AQ156="5",BJ156,0),2)</f>
        <v>0</v>
      </c>
      <c r="AB156" s="51">
        <f>ROUND(IF(AQ156="1",BH156,0),2)</f>
        <v>0</v>
      </c>
      <c r="AC156" s="51">
        <f>ROUND(IF(AQ156="1",BI156,0),2)</f>
        <v>0</v>
      </c>
      <c r="AD156" s="51">
        <f>ROUND(IF(AQ156="7",BH156,0),2)</f>
        <v>0</v>
      </c>
      <c r="AE156" s="51">
        <f>ROUND(IF(AQ156="7",BI156,0),2)</f>
        <v>0</v>
      </c>
      <c r="AF156" s="51">
        <f>ROUND(IF(AQ156="2",BH156,0),2)</f>
        <v>0</v>
      </c>
      <c r="AG156" s="51">
        <f>ROUND(IF(AQ156="2",BI156,0),2)</f>
        <v>0</v>
      </c>
      <c r="AH156" s="51">
        <f>ROUND(IF(AQ156="0",BJ156,0),2)</f>
        <v>0</v>
      </c>
      <c r="AI156" s="35" t="s">
        <v>4</v>
      </c>
      <c r="AJ156" s="51">
        <f>IF(AN156=0,H156,0)</f>
        <v>0</v>
      </c>
      <c r="AK156" s="51">
        <f>IF(AN156=12,H156,0)</f>
        <v>0</v>
      </c>
      <c r="AL156" s="51">
        <f>IF(AN156=21,H156,0)</f>
        <v>0</v>
      </c>
      <c r="AN156" s="51">
        <v>12</v>
      </c>
      <c r="AO156" s="51">
        <f>G156*0.026018957</f>
        <v>0</v>
      </c>
      <c r="AP156" s="51">
        <f>G156*(1-0.026018957)</f>
        <v>0</v>
      </c>
      <c r="AQ156" s="53" t="s">
        <v>149</v>
      </c>
      <c r="AV156" s="51">
        <f>ROUND(AW156+AX156,2)</f>
        <v>0</v>
      </c>
      <c r="AW156" s="51">
        <f>ROUND(F156*AO156,2)</f>
        <v>0</v>
      </c>
      <c r="AX156" s="51">
        <f>ROUND(F156*AP156,2)</f>
        <v>0</v>
      </c>
      <c r="AY156" s="53" t="s">
        <v>377</v>
      </c>
      <c r="AZ156" s="53" t="s">
        <v>378</v>
      </c>
      <c r="BA156" s="35" t="s">
        <v>117</v>
      </c>
      <c r="BC156" s="51">
        <f>AW156+AX156</f>
        <v>0</v>
      </c>
      <c r="BD156" s="51">
        <f>G156/(100-BE156)*100</f>
        <v>0</v>
      </c>
      <c r="BE156" s="51">
        <v>0</v>
      </c>
      <c r="BF156" s="51">
        <f>156</f>
        <v>156</v>
      </c>
      <c r="BH156" s="51">
        <f>F156*AO156</f>
        <v>0</v>
      </c>
      <c r="BI156" s="51">
        <f>F156*AP156</f>
        <v>0</v>
      </c>
      <c r="BJ156" s="51">
        <f>F156*G156</f>
        <v>0</v>
      </c>
      <c r="BK156" s="53" t="s">
        <v>118</v>
      </c>
      <c r="BL156" s="51">
        <v>721</v>
      </c>
      <c r="BW156" s="51">
        <v>12</v>
      </c>
      <c r="BX156" s="3" t="s">
        <v>409</v>
      </c>
    </row>
    <row r="157" spans="1:76">
      <c r="A157" s="1" t="s">
        <v>142</v>
      </c>
      <c r="B157" s="2" t="s">
        <v>410</v>
      </c>
      <c r="C157" s="75" t="s">
        <v>411</v>
      </c>
      <c r="D157" s="70"/>
      <c r="E157" s="2" t="s">
        <v>135</v>
      </c>
      <c r="F157" s="51">
        <v>1</v>
      </c>
      <c r="G157" s="52">
        <v>0</v>
      </c>
      <c r="H157" s="51">
        <f>ROUND(F157*G157,2)</f>
        <v>0</v>
      </c>
      <c r="J157" s="41"/>
      <c r="Z157" s="51">
        <f>ROUND(IF(AQ157="5",BJ157,0),2)</f>
        <v>0</v>
      </c>
      <c r="AB157" s="51">
        <f>ROUND(IF(AQ157="1",BH157,0),2)</f>
        <v>0</v>
      </c>
      <c r="AC157" s="51">
        <f>ROUND(IF(AQ157="1",BI157,0),2)</f>
        <v>0</v>
      </c>
      <c r="AD157" s="51">
        <f>ROUND(IF(AQ157="7",BH157,0),2)</f>
        <v>0</v>
      </c>
      <c r="AE157" s="51">
        <f>ROUND(IF(AQ157="7",BI157,0),2)</f>
        <v>0</v>
      </c>
      <c r="AF157" s="51">
        <f>ROUND(IF(AQ157="2",BH157,0),2)</f>
        <v>0</v>
      </c>
      <c r="AG157" s="51">
        <f>ROUND(IF(AQ157="2",BI157,0),2)</f>
        <v>0</v>
      </c>
      <c r="AH157" s="51">
        <f>ROUND(IF(AQ157="0",BJ157,0),2)</f>
        <v>0</v>
      </c>
      <c r="AI157" s="35" t="s">
        <v>4</v>
      </c>
      <c r="AJ157" s="51">
        <f>IF(AN157=0,H157,0)</f>
        <v>0</v>
      </c>
      <c r="AK157" s="51">
        <f>IF(AN157=12,H157,0)</f>
        <v>0</v>
      </c>
      <c r="AL157" s="51">
        <f>IF(AN157=21,H157,0)</f>
        <v>0</v>
      </c>
      <c r="AN157" s="51">
        <v>12</v>
      </c>
      <c r="AO157" s="51">
        <f>G157*0.325048309</f>
        <v>0</v>
      </c>
      <c r="AP157" s="51">
        <f>G157*(1-0.325048309)</f>
        <v>0</v>
      </c>
      <c r="AQ157" s="53" t="s">
        <v>149</v>
      </c>
      <c r="AV157" s="51">
        <f>ROUND(AW157+AX157,2)</f>
        <v>0</v>
      </c>
      <c r="AW157" s="51">
        <f>ROUND(F157*AO157,2)</f>
        <v>0</v>
      </c>
      <c r="AX157" s="51">
        <f>ROUND(F157*AP157,2)</f>
        <v>0</v>
      </c>
      <c r="AY157" s="53" t="s">
        <v>377</v>
      </c>
      <c r="AZ157" s="53" t="s">
        <v>378</v>
      </c>
      <c r="BA157" s="35" t="s">
        <v>117</v>
      </c>
      <c r="BC157" s="51">
        <f>AW157+AX157</f>
        <v>0</v>
      </c>
      <c r="BD157" s="51">
        <f>G157/(100-BE157)*100</f>
        <v>0</v>
      </c>
      <c r="BE157" s="51">
        <v>0</v>
      </c>
      <c r="BF157" s="51">
        <f>157</f>
        <v>157</v>
      </c>
      <c r="BH157" s="51">
        <f>F157*AO157</f>
        <v>0</v>
      </c>
      <c r="BI157" s="51">
        <f>F157*AP157</f>
        <v>0</v>
      </c>
      <c r="BJ157" s="51">
        <f>F157*G157</f>
        <v>0</v>
      </c>
      <c r="BK157" s="53" t="s">
        <v>118</v>
      </c>
      <c r="BL157" s="51">
        <v>721</v>
      </c>
      <c r="BW157" s="51">
        <v>12</v>
      </c>
      <c r="BX157" s="3" t="s">
        <v>411</v>
      </c>
    </row>
    <row r="158" spans="1:76">
      <c r="A158" s="1" t="s">
        <v>412</v>
      </c>
      <c r="B158" s="2" t="s">
        <v>413</v>
      </c>
      <c r="C158" s="75" t="s">
        <v>414</v>
      </c>
      <c r="D158" s="70"/>
      <c r="E158" s="2" t="s">
        <v>308</v>
      </c>
      <c r="F158" s="51">
        <v>0.62</v>
      </c>
      <c r="G158" s="52">
        <v>0</v>
      </c>
      <c r="H158" s="51">
        <f>ROUND(F158*G158,2)</f>
        <v>0</v>
      </c>
      <c r="J158" s="41"/>
      <c r="Z158" s="51">
        <f>ROUND(IF(AQ158="5",BJ158,0),2)</f>
        <v>0</v>
      </c>
      <c r="AB158" s="51">
        <f>ROUND(IF(AQ158="1",BH158,0),2)</f>
        <v>0</v>
      </c>
      <c r="AC158" s="51">
        <f>ROUND(IF(AQ158="1",BI158,0),2)</f>
        <v>0</v>
      </c>
      <c r="AD158" s="51">
        <f>ROUND(IF(AQ158="7",BH158,0),2)</f>
        <v>0</v>
      </c>
      <c r="AE158" s="51">
        <f>ROUND(IF(AQ158="7",BI158,0),2)</f>
        <v>0</v>
      </c>
      <c r="AF158" s="51">
        <f>ROUND(IF(AQ158="2",BH158,0),2)</f>
        <v>0</v>
      </c>
      <c r="AG158" s="51">
        <f>ROUND(IF(AQ158="2",BI158,0),2)</f>
        <v>0</v>
      </c>
      <c r="AH158" s="51">
        <f>ROUND(IF(AQ158="0",BJ158,0),2)</f>
        <v>0</v>
      </c>
      <c r="AI158" s="35" t="s">
        <v>4</v>
      </c>
      <c r="AJ158" s="51">
        <f>IF(AN158=0,H158,0)</f>
        <v>0</v>
      </c>
      <c r="AK158" s="51">
        <f>IF(AN158=12,H158,0)</f>
        <v>0</v>
      </c>
      <c r="AL158" s="51">
        <f>IF(AN158=21,H158,0)</f>
        <v>0</v>
      </c>
      <c r="AN158" s="51">
        <v>12</v>
      </c>
      <c r="AO158" s="51">
        <f>G158*0</f>
        <v>0</v>
      </c>
      <c r="AP158" s="51">
        <f>G158*(1-0)</f>
        <v>0</v>
      </c>
      <c r="AQ158" s="53" t="s">
        <v>138</v>
      </c>
      <c r="AV158" s="51">
        <f>ROUND(AW158+AX158,2)</f>
        <v>0</v>
      </c>
      <c r="AW158" s="51">
        <f>ROUND(F158*AO158,2)</f>
        <v>0</v>
      </c>
      <c r="AX158" s="51">
        <f>ROUND(F158*AP158,2)</f>
        <v>0</v>
      </c>
      <c r="AY158" s="53" t="s">
        <v>377</v>
      </c>
      <c r="AZ158" s="53" t="s">
        <v>378</v>
      </c>
      <c r="BA158" s="35" t="s">
        <v>117</v>
      </c>
      <c r="BC158" s="51">
        <f>AW158+AX158</f>
        <v>0</v>
      </c>
      <c r="BD158" s="51">
        <f>G158/(100-BE158)*100</f>
        <v>0</v>
      </c>
      <c r="BE158" s="51">
        <v>0</v>
      </c>
      <c r="BF158" s="51">
        <f>158</f>
        <v>158</v>
      </c>
      <c r="BH158" s="51">
        <f>F158*AO158</f>
        <v>0</v>
      </c>
      <c r="BI158" s="51">
        <f>F158*AP158</f>
        <v>0</v>
      </c>
      <c r="BJ158" s="51">
        <f>F158*G158</f>
        <v>0</v>
      </c>
      <c r="BK158" s="53" t="s">
        <v>118</v>
      </c>
      <c r="BL158" s="51">
        <v>721</v>
      </c>
      <c r="BW158" s="51">
        <v>12</v>
      </c>
      <c r="BX158" s="3" t="s">
        <v>414</v>
      </c>
    </row>
    <row r="159" spans="1:76">
      <c r="A159" s="47" t="s">
        <v>4</v>
      </c>
      <c r="B159" s="48" t="s">
        <v>415</v>
      </c>
      <c r="C159" s="150" t="s">
        <v>416</v>
      </c>
      <c r="D159" s="151"/>
      <c r="E159" s="49" t="s">
        <v>79</v>
      </c>
      <c r="F159" s="49" t="s">
        <v>79</v>
      </c>
      <c r="G159" s="50" t="s">
        <v>79</v>
      </c>
      <c r="H159" s="28">
        <f>SUM(H160:H170)</f>
        <v>0</v>
      </c>
      <c r="J159" s="41"/>
      <c r="AI159" s="35" t="s">
        <v>4</v>
      </c>
      <c r="AS159" s="28">
        <f>SUM(AJ160:AJ170)</f>
        <v>0</v>
      </c>
      <c r="AT159" s="28">
        <f>SUM(AK160:AK170)</f>
        <v>0</v>
      </c>
      <c r="AU159" s="28">
        <f>SUM(AL160:AL170)</f>
        <v>0</v>
      </c>
    </row>
    <row r="160" spans="1:76">
      <c r="A160" s="1" t="s">
        <v>223</v>
      </c>
      <c r="B160" s="2" t="s">
        <v>417</v>
      </c>
      <c r="C160" s="75" t="s">
        <v>418</v>
      </c>
      <c r="D160" s="70"/>
      <c r="E160" s="2" t="s">
        <v>135</v>
      </c>
      <c r="F160" s="51">
        <v>8</v>
      </c>
      <c r="G160" s="52">
        <v>0</v>
      </c>
      <c r="H160" s="51">
        <f t="shared" ref="H160:H170" si="20">ROUND(F160*G160,2)</f>
        <v>0</v>
      </c>
      <c r="J160" s="41"/>
      <c r="Z160" s="51">
        <f t="shared" ref="Z160:Z170" si="21">ROUND(IF(AQ160="5",BJ160,0),2)</f>
        <v>0</v>
      </c>
      <c r="AB160" s="51">
        <f t="shared" ref="AB160:AB170" si="22">ROUND(IF(AQ160="1",BH160,0),2)</f>
        <v>0</v>
      </c>
      <c r="AC160" s="51">
        <f t="shared" ref="AC160:AC170" si="23">ROUND(IF(AQ160="1",BI160,0),2)</f>
        <v>0</v>
      </c>
      <c r="AD160" s="51">
        <f t="shared" ref="AD160:AD170" si="24">ROUND(IF(AQ160="7",BH160,0),2)</f>
        <v>0</v>
      </c>
      <c r="AE160" s="51">
        <f t="shared" ref="AE160:AE170" si="25">ROUND(IF(AQ160="7",BI160,0),2)</f>
        <v>0</v>
      </c>
      <c r="AF160" s="51">
        <f t="shared" ref="AF160:AF170" si="26">ROUND(IF(AQ160="2",BH160,0),2)</f>
        <v>0</v>
      </c>
      <c r="AG160" s="51">
        <f t="shared" ref="AG160:AG170" si="27">ROUND(IF(AQ160="2",BI160,0),2)</f>
        <v>0</v>
      </c>
      <c r="AH160" s="51">
        <f t="shared" ref="AH160:AH170" si="28">ROUND(IF(AQ160="0",BJ160,0),2)</f>
        <v>0</v>
      </c>
      <c r="AI160" s="35" t="s">
        <v>4</v>
      </c>
      <c r="AJ160" s="51">
        <f t="shared" ref="AJ160:AJ170" si="29">IF(AN160=0,H160,0)</f>
        <v>0</v>
      </c>
      <c r="AK160" s="51">
        <f t="shared" ref="AK160:AK170" si="30">IF(AN160=12,H160,0)</f>
        <v>0</v>
      </c>
      <c r="AL160" s="51">
        <f t="shared" ref="AL160:AL170" si="31">IF(AN160=21,H160,0)</f>
        <v>0</v>
      </c>
      <c r="AN160" s="51">
        <v>12</v>
      </c>
      <c r="AO160" s="51">
        <f>G160*0</f>
        <v>0</v>
      </c>
      <c r="AP160" s="51">
        <f>G160*(1-0)</f>
        <v>0</v>
      </c>
      <c r="AQ160" s="53" t="s">
        <v>149</v>
      </c>
      <c r="AV160" s="51">
        <f t="shared" ref="AV160:AV170" si="32">ROUND(AW160+AX160,2)</f>
        <v>0</v>
      </c>
      <c r="AW160" s="51">
        <f t="shared" ref="AW160:AW170" si="33">ROUND(F160*AO160,2)</f>
        <v>0</v>
      </c>
      <c r="AX160" s="51">
        <f t="shared" ref="AX160:AX170" si="34">ROUND(F160*AP160,2)</f>
        <v>0</v>
      </c>
      <c r="AY160" s="53" t="s">
        <v>419</v>
      </c>
      <c r="AZ160" s="53" t="s">
        <v>378</v>
      </c>
      <c r="BA160" s="35" t="s">
        <v>117</v>
      </c>
      <c r="BC160" s="51">
        <f t="shared" ref="BC160:BC170" si="35">AW160+AX160</f>
        <v>0</v>
      </c>
      <c r="BD160" s="51">
        <f t="shared" ref="BD160:BD170" si="36">G160/(100-BE160)*100</f>
        <v>0</v>
      </c>
      <c r="BE160" s="51">
        <v>0</v>
      </c>
      <c r="BF160" s="51">
        <f>160</f>
        <v>160</v>
      </c>
      <c r="BH160" s="51">
        <f t="shared" ref="BH160:BH170" si="37">F160*AO160</f>
        <v>0</v>
      </c>
      <c r="BI160" s="51">
        <f t="shared" ref="BI160:BI170" si="38">F160*AP160</f>
        <v>0</v>
      </c>
      <c r="BJ160" s="51">
        <f t="shared" ref="BJ160:BJ170" si="39">F160*G160</f>
        <v>0</v>
      </c>
      <c r="BK160" s="53" t="s">
        <v>118</v>
      </c>
      <c r="BL160" s="51">
        <v>722</v>
      </c>
      <c r="BW160" s="51">
        <v>12</v>
      </c>
      <c r="BX160" s="3" t="s">
        <v>418</v>
      </c>
    </row>
    <row r="161" spans="1:76">
      <c r="A161" s="1" t="s">
        <v>420</v>
      </c>
      <c r="B161" s="2" t="s">
        <v>421</v>
      </c>
      <c r="C161" s="75" t="s">
        <v>422</v>
      </c>
      <c r="D161" s="70"/>
      <c r="E161" s="2" t="s">
        <v>114</v>
      </c>
      <c r="F161" s="51">
        <v>6</v>
      </c>
      <c r="G161" s="52">
        <v>0</v>
      </c>
      <c r="H161" s="51">
        <f t="shared" si="20"/>
        <v>0</v>
      </c>
      <c r="J161" s="41"/>
      <c r="Z161" s="51">
        <f t="shared" si="21"/>
        <v>0</v>
      </c>
      <c r="AB161" s="51">
        <f t="shared" si="22"/>
        <v>0</v>
      </c>
      <c r="AC161" s="51">
        <f t="shared" si="23"/>
        <v>0</v>
      </c>
      <c r="AD161" s="51">
        <f t="shared" si="24"/>
        <v>0</v>
      </c>
      <c r="AE161" s="51">
        <f t="shared" si="25"/>
        <v>0</v>
      </c>
      <c r="AF161" s="51">
        <f t="shared" si="26"/>
        <v>0</v>
      </c>
      <c r="AG161" s="51">
        <f t="shared" si="27"/>
        <v>0</v>
      </c>
      <c r="AH161" s="51">
        <f t="shared" si="28"/>
        <v>0</v>
      </c>
      <c r="AI161" s="35" t="s">
        <v>4</v>
      </c>
      <c r="AJ161" s="51">
        <f t="shared" si="29"/>
        <v>0</v>
      </c>
      <c r="AK161" s="51">
        <f t="shared" si="30"/>
        <v>0</v>
      </c>
      <c r="AL161" s="51">
        <f t="shared" si="31"/>
        <v>0</v>
      </c>
      <c r="AN161" s="51">
        <v>12</v>
      </c>
      <c r="AO161" s="51">
        <f>G161*0</f>
        <v>0</v>
      </c>
      <c r="AP161" s="51">
        <f>G161*(1-0)</f>
        <v>0</v>
      </c>
      <c r="AQ161" s="53" t="s">
        <v>149</v>
      </c>
      <c r="AV161" s="51">
        <f t="shared" si="32"/>
        <v>0</v>
      </c>
      <c r="AW161" s="51">
        <f t="shared" si="33"/>
        <v>0</v>
      </c>
      <c r="AX161" s="51">
        <f t="shared" si="34"/>
        <v>0</v>
      </c>
      <c r="AY161" s="53" t="s">
        <v>419</v>
      </c>
      <c r="AZ161" s="53" t="s">
        <v>378</v>
      </c>
      <c r="BA161" s="35" t="s">
        <v>117</v>
      </c>
      <c r="BC161" s="51">
        <f t="shared" si="35"/>
        <v>0</v>
      </c>
      <c r="BD161" s="51">
        <f t="shared" si="36"/>
        <v>0</v>
      </c>
      <c r="BE161" s="51">
        <v>0</v>
      </c>
      <c r="BF161" s="51">
        <f>161</f>
        <v>161</v>
      </c>
      <c r="BH161" s="51">
        <f t="shared" si="37"/>
        <v>0</v>
      </c>
      <c r="BI161" s="51">
        <f t="shared" si="38"/>
        <v>0</v>
      </c>
      <c r="BJ161" s="51">
        <f t="shared" si="39"/>
        <v>0</v>
      </c>
      <c r="BK161" s="53" t="s">
        <v>118</v>
      </c>
      <c r="BL161" s="51">
        <v>722</v>
      </c>
      <c r="BW161" s="51">
        <v>12</v>
      </c>
      <c r="BX161" s="3" t="s">
        <v>422</v>
      </c>
    </row>
    <row r="162" spans="1:76">
      <c r="A162" s="1" t="s">
        <v>423</v>
      </c>
      <c r="B162" s="2" t="s">
        <v>424</v>
      </c>
      <c r="C162" s="75" t="s">
        <v>425</v>
      </c>
      <c r="D162" s="70"/>
      <c r="E162" s="2" t="s">
        <v>114</v>
      </c>
      <c r="F162" s="51">
        <v>2</v>
      </c>
      <c r="G162" s="52">
        <v>0</v>
      </c>
      <c r="H162" s="51">
        <f t="shared" si="20"/>
        <v>0</v>
      </c>
      <c r="J162" s="41"/>
      <c r="Z162" s="51">
        <f t="shared" si="21"/>
        <v>0</v>
      </c>
      <c r="AB162" s="51">
        <f t="shared" si="22"/>
        <v>0</v>
      </c>
      <c r="AC162" s="51">
        <f t="shared" si="23"/>
        <v>0</v>
      </c>
      <c r="AD162" s="51">
        <f t="shared" si="24"/>
        <v>0</v>
      </c>
      <c r="AE162" s="51">
        <f t="shared" si="25"/>
        <v>0</v>
      </c>
      <c r="AF162" s="51">
        <f t="shared" si="26"/>
        <v>0</v>
      </c>
      <c r="AG162" s="51">
        <f t="shared" si="27"/>
        <v>0</v>
      </c>
      <c r="AH162" s="51">
        <f t="shared" si="28"/>
        <v>0</v>
      </c>
      <c r="AI162" s="35" t="s">
        <v>4</v>
      </c>
      <c r="AJ162" s="51">
        <f t="shared" si="29"/>
        <v>0</v>
      </c>
      <c r="AK162" s="51">
        <f t="shared" si="30"/>
        <v>0</v>
      </c>
      <c r="AL162" s="51">
        <f t="shared" si="31"/>
        <v>0</v>
      </c>
      <c r="AN162" s="51">
        <v>12</v>
      </c>
      <c r="AO162" s="51">
        <f>G162*0.032072072</f>
        <v>0</v>
      </c>
      <c r="AP162" s="51">
        <f>G162*(1-0.032072072)</f>
        <v>0</v>
      </c>
      <c r="AQ162" s="53" t="s">
        <v>149</v>
      </c>
      <c r="AV162" s="51">
        <f t="shared" si="32"/>
        <v>0</v>
      </c>
      <c r="AW162" s="51">
        <f t="shared" si="33"/>
        <v>0</v>
      </c>
      <c r="AX162" s="51">
        <f t="shared" si="34"/>
        <v>0</v>
      </c>
      <c r="AY162" s="53" t="s">
        <v>419</v>
      </c>
      <c r="AZ162" s="53" t="s">
        <v>378</v>
      </c>
      <c r="BA162" s="35" t="s">
        <v>117</v>
      </c>
      <c r="BC162" s="51">
        <f t="shared" si="35"/>
        <v>0</v>
      </c>
      <c r="BD162" s="51">
        <f t="shared" si="36"/>
        <v>0</v>
      </c>
      <c r="BE162" s="51">
        <v>0</v>
      </c>
      <c r="BF162" s="51">
        <f>162</f>
        <v>162</v>
      </c>
      <c r="BH162" s="51">
        <f t="shared" si="37"/>
        <v>0</v>
      </c>
      <c r="BI162" s="51">
        <f t="shared" si="38"/>
        <v>0</v>
      </c>
      <c r="BJ162" s="51">
        <f t="shared" si="39"/>
        <v>0</v>
      </c>
      <c r="BK162" s="53" t="s">
        <v>118</v>
      </c>
      <c r="BL162" s="51">
        <v>722</v>
      </c>
      <c r="BW162" s="51">
        <v>12</v>
      </c>
      <c r="BX162" s="3" t="s">
        <v>425</v>
      </c>
    </row>
    <row r="163" spans="1:76">
      <c r="A163" s="1" t="s">
        <v>426</v>
      </c>
      <c r="B163" s="2" t="s">
        <v>427</v>
      </c>
      <c r="C163" s="75" t="s">
        <v>428</v>
      </c>
      <c r="D163" s="70"/>
      <c r="E163" s="2" t="s">
        <v>135</v>
      </c>
      <c r="F163" s="51">
        <v>24.5</v>
      </c>
      <c r="G163" s="52">
        <v>0</v>
      </c>
      <c r="H163" s="51">
        <f t="shared" si="20"/>
        <v>0</v>
      </c>
      <c r="J163" s="41"/>
      <c r="Z163" s="51">
        <f t="shared" si="21"/>
        <v>0</v>
      </c>
      <c r="AB163" s="51">
        <f t="shared" si="22"/>
        <v>0</v>
      </c>
      <c r="AC163" s="51">
        <f t="shared" si="23"/>
        <v>0</v>
      </c>
      <c r="AD163" s="51">
        <f t="shared" si="24"/>
        <v>0</v>
      </c>
      <c r="AE163" s="51">
        <f t="shared" si="25"/>
        <v>0</v>
      </c>
      <c r="AF163" s="51">
        <f t="shared" si="26"/>
        <v>0</v>
      </c>
      <c r="AG163" s="51">
        <f t="shared" si="27"/>
        <v>0</v>
      </c>
      <c r="AH163" s="51">
        <f t="shared" si="28"/>
        <v>0</v>
      </c>
      <c r="AI163" s="35" t="s">
        <v>4</v>
      </c>
      <c r="AJ163" s="51">
        <f t="shared" si="29"/>
        <v>0</v>
      </c>
      <c r="AK163" s="51">
        <f t="shared" si="30"/>
        <v>0</v>
      </c>
      <c r="AL163" s="51">
        <f t="shared" si="31"/>
        <v>0</v>
      </c>
      <c r="AN163" s="51">
        <v>12</v>
      </c>
      <c r="AO163" s="51">
        <f>G163*0.322584814</f>
        <v>0</v>
      </c>
      <c r="AP163" s="51">
        <f>G163*(1-0.322584814)</f>
        <v>0</v>
      </c>
      <c r="AQ163" s="53" t="s">
        <v>149</v>
      </c>
      <c r="AV163" s="51">
        <f t="shared" si="32"/>
        <v>0</v>
      </c>
      <c r="AW163" s="51">
        <f t="shared" si="33"/>
        <v>0</v>
      </c>
      <c r="AX163" s="51">
        <f t="shared" si="34"/>
        <v>0</v>
      </c>
      <c r="AY163" s="53" t="s">
        <v>419</v>
      </c>
      <c r="AZ163" s="53" t="s">
        <v>378</v>
      </c>
      <c r="BA163" s="35" t="s">
        <v>117</v>
      </c>
      <c r="BC163" s="51">
        <f t="shared" si="35"/>
        <v>0</v>
      </c>
      <c r="BD163" s="51">
        <f t="shared" si="36"/>
        <v>0</v>
      </c>
      <c r="BE163" s="51">
        <v>0</v>
      </c>
      <c r="BF163" s="51">
        <f>163</f>
        <v>163</v>
      </c>
      <c r="BH163" s="51">
        <f t="shared" si="37"/>
        <v>0</v>
      </c>
      <c r="BI163" s="51">
        <f t="shared" si="38"/>
        <v>0</v>
      </c>
      <c r="BJ163" s="51">
        <f t="shared" si="39"/>
        <v>0</v>
      </c>
      <c r="BK163" s="53" t="s">
        <v>118</v>
      </c>
      <c r="BL163" s="51">
        <v>722</v>
      </c>
      <c r="BW163" s="51">
        <v>12</v>
      </c>
      <c r="BX163" s="3" t="s">
        <v>428</v>
      </c>
    </row>
    <row r="164" spans="1:76">
      <c r="A164" s="1" t="s">
        <v>429</v>
      </c>
      <c r="B164" s="2" t="s">
        <v>430</v>
      </c>
      <c r="C164" s="75" t="s">
        <v>431</v>
      </c>
      <c r="D164" s="70"/>
      <c r="E164" s="2" t="s">
        <v>114</v>
      </c>
      <c r="F164" s="51">
        <v>2</v>
      </c>
      <c r="G164" s="52">
        <v>0</v>
      </c>
      <c r="H164" s="51">
        <f t="shared" si="20"/>
        <v>0</v>
      </c>
      <c r="J164" s="41"/>
      <c r="Z164" s="51">
        <f t="shared" si="21"/>
        <v>0</v>
      </c>
      <c r="AB164" s="51">
        <f t="shared" si="22"/>
        <v>0</v>
      </c>
      <c r="AC164" s="51">
        <f t="shared" si="23"/>
        <v>0</v>
      </c>
      <c r="AD164" s="51">
        <f t="shared" si="24"/>
        <v>0</v>
      </c>
      <c r="AE164" s="51">
        <f t="shared" si="25"/>
        <v>0</v>
      </c>
      <c r="AF164" s="51">
        <f t="shared" si="26"/>
        <v>0</v>
      </c>
      <c r="AG164" s="51">
        <f t="shared" si="27"/>
        <v>0</v>
      </c>
      <c r="AH164" s="51">
        <f t="shared" si="28"/>
        <v>0</v>
      </c>
      <c r="AI164" s="35" t="s">
        <v>4</v>
      </c>
      <c r="AJ164" s="51">
        <f t="shared" si="29"/>
        <v>0</v>
      </c>
      <c r="AK164" s="51">
        <f t="shared" si="30"/>
        <v>0</v>
      </c>
      <c r="AL164" s="51">
        <f t="shared" si="31"/>
        <v>0</v>
      </c>
      <c r="AN164" s="51">
        <v>12</v>
      </c>
      <c r="AO164" s="51">
        <f>G164*0.497966616</f>
        <v>0</v>
      </c>
      <c r="AP164" s="51">
        <f>G164*(1-0.497966616)</f>
        <v>0</v>
      </c>
      <c r="AQ164" s="53" t="s">
        <v>149</v>
      </c>
      <c r="AV164" s="51">
        <f t="shared" si="32"/>
        <v>0</v>
      </c>
      <c r="AW164" s="51">
        <f t="shared" si="33"/>
        <v>0</v>
      </c>
      <c r="AX164" s="51">
        <f t="shared" si="34"/>
        <v>0</v>
      </c>
      <c r="AY164" s="53" t="s">
        <v>419</v>
      </c>
      <c r="AZ164" s="53" t="s">
        <v>378</v>
      </c>
      <c r="BA164" s="35" t="s">
        <v>117</v>
      </c>
      <c r="BC164" s="51">
        <f t="shared" si="35"/>
        <v>0</v>
      </c>
      <c r="BD164" s="51">
        <f t="shared" si="36"/>
        <v>0</v>
      </c>
      <c r="BE164" s="51">
        <v>0</v>
      </c>
      <c r="BF164" s="51">
        <f>164</f>
        <v>164</v>
      </c>
      <c r="BH164" s="51">
        <f t="shared" si="37"/>
        <v>0</v>
      </c>
      <c r="BI164" s="51">
        <f t="shared" si="38"/>
        <v>0</v>
      </c>
      <c r="BJ164" s="51">
        <f t="shared" si="39"/>
        <v>0</v>
      </c>
      <c r="BK164" s="53" t="s">
        <v>118</v>
      </c>
      <c r="BL164" s="51">
        <v>722</v>
      </c>
      <c r="BW164" s="51">
        <v>12</v>
      </c>
      <c r="BX164" s="3" t="s">
        <v>431</v>
      </c>
    </row>
    <row r="165" spans="1:76">
      <c r="A165" s="1" t="s">
        <v>432</v>
      </c>
      <c r="B165" s="2" t="s">
        <v>433</v>
      </c>
      <c r="C165" s="75" t="s">
        <v>434</v>
      </c>
      <c r="D165" s="70"/>
      <c r="E165" s="2" t="s">
        <v>435</v>
      </c>
      <c r="F165" s="51">
        <v>3</v>
      </c>
      <c r="G165" s="52">
        <v>0</v>
      </c>
      <c r="H165" s="51">
        <f t="shared" si="20"/>
        <v>0</v>
      </c>
      <c r="J165" s="41"/>
      <c r="Z165" s="51">
        <f t="shared" si="21"/>
        <v>0</v>
      </c>
      <c r="AB165" s="51">
        <f t="shared" si="22"/>
        <v>0</v>
      </c>
      <c r="AC165" s="51">
        <f t="shared" si="23"/>
        <v>0</v>
      </c>
      <c r="AD165" s="51">
        <f t="shared" si="24"/>
        <v>0</v>
      </c>
      <c r="AE165" s="51">
        <f t="shared" si="25"/>
        <v>0</v>
      </c>
      <c r="AF165" s="51">
        <f t="shared" si="26"/>
        <v>0</v>
      </c>
      <c r="AG165" s="51">
        <f t="shared" si="27"/>
        <v>0</v>
      </c>
      <c r="AH165" s="51">
        <f t="shared" si="28"/>
        <v>0</v>
      </c>
      <c r="AI165" s="35" t="s">
        <v>4</v>
      </c>
      <c r="AJ165" s="51">
        <f t="shared" si="29"/>
        <v>0</v>
      </c>
      <c r="AK165" s="51">
        <f t="shared" si="30"/>
        <v>0</v>
      </c>
      <c r="AL165" s="51">
        <f t="shared" si="31"/>
        <v>0</v>
      </c>
      <c r="AN165" s="51">
        <v>12</v>
      </c>
      <c r="AO165" s="51">
        <f>G165*0.503040847</f>
        <v>0</v>
      </c>
      <c r="AP165" s="51">
        <f>G165*(1-0.503040847)</f>
        <v>0</v>
      </c>
      <c r="AQ165" s="53" t="s">
        <v>149</v>
      </c>
      <c r="AV165" s="51">
        <f t="shared" si="32"/>
        <v>0</v>
      </c>
      <c r="AW165" s="51">
        <f t="shared" si="33"/>
        <v>0</v>
      </c>
      <c r="AX165" s="51">
        <f t="shared" si="34"/>
        <v>0</v>
      </c>
      <c r="AY165" s="53" t="s">
        <v>419</v>
      </c>
      <c r="AZ165" s="53" t="s">
        <v>378</v>
      </c>
      <c r="BA165" s="35" t="s">
        <v>117</v>
      </c>
      <c r="BC165" s="51">
        <f t="shared" si="35"/>
        <v>0</v>
      </c>
      <c r="BD165" s="51">
        <f t="shared" si="36"/>
        <v>0</v>
      </c>
      <c r="BE165" s="51">
        <v>0</v>
      </c>
      <c r="BF165" s="51">
        <f>165</f>
        <v>165</v>
      </c>
      <c r="BH165" s="51">
        <f t="shared" si="37"/>
        <v>0</v>
      </c>
      <c r="BI165" s="51">
        <f t="shared" si="38"/>
        <v>0</v>
      </c>
      <c r="BJ165" s="51">
        <f t="shared" si="39"/>
        <v>0</v>
      </c>
      <c r="BK165" s="53" t="s">
        <v>118</v>
      </c>
      <c r="BL165" s="51">
        <v>722</v>
      </c>
      <c r="BW165" s="51">
        <v>12</v>
      </c>
      <c r="BX165" s="3" t="s">
        <v>434</v>
      </c>
    </row>
    <row r="166" spans="1:76">
      <c r="A166" s="1" t="s">
        <v>436</v>
      </c>
      <c r="B166" s="2" t="s">
        <v>437</v>
      </c>
      <c r="C166" s="75" t="s">
        <v>438</v>
      </c>
      <c r="D166" s="70"/>
      <c r="E166" s="2" t="s">
        <v>135</v>
      </c>
      <c r="F166" s="51">
        <v>24.5</v>
      </c>
      <c r="G166" s="52">
        <v>0</v>
      </c>
      <c r="H166" s="51">
        <f t="shared" si="20"/>
        <v>0</v>
      </c>
      <c r="J166" s="41"/>
      <c r="Z166" s="51">
        <f t="shared" si="21"/>
        <v>0</v>
      </c>
      <c r="AB166" s="51">
        <f t="shared" si="22"/>
        <v>0</v>
      </c>
      <c r="AC166" s="51">
        <f t="shared" si="23"/>
        <v>0</v>
      </c>
      <c r="AD166" s="51">
        <f t="shared" si="24"/>
        <v>0</v>
      </c>
      <c r="AE166" s="51">
        <f t="shared" si="25"/>
        <v>0</v>
      </c>
      <c r="AF166" s="51">
        <f t="shared" si="26"/>
        <v>0</v>
      </c>
      <c r="AG166" s="51">
        <f t="shared" si="27"/>
        <v>0</v>
      </c>
      <c r="AH166" s="51">
        <f t="shared" si="28"/>
        <v>0</v>
      </c>
      <c r="AI166" s="35" t="s">
        <v>4</v>
      </c>
      <c r="AJ166" s="51">
        <f t="shared" si="29"/>
        <v>0</v>
      </c>
      <c r="AK166" s="51">
        <f t="shared" si="30"/>
        <v>0</v>
      </c>
      <c r="AL166" s="51">
        <f t="shared" si="31"/>
        <v>0</v>
      </c>
      <c r="AN166" s="51">
        <v>12</v>
      </c>
      <c r="AO166" s="51">
        <f>G166*0.403958303</f>
        <v>0</v>
      </c>
      <c r="AP166" s="51">
        <f>G166*(1-0.403958303)</f>
        <v>0</v>
      </c>
      <c r="AQ166" s="53" t="s">
        <v>149</v>
      </c>
      <c r="AV166" s="51">
        <f t="shared" si="32"/>
        <v>0</v>
      </c>
      <c r="AW166" s="51">
        <f t="shared" si="33"/>
        <v>0</v>
      </c>
      <c r="AX166" s="51">
        <f t="shared" si="34"/>
        <v>0</v>
      </c>
      <c r="AY166" s="53" t="s">
        <v>419</v>
      </c>
      <c r="AZ166" s="53" t="s">
        <v>378</v>
      </c>
      <c r="BA166" s="35" t="s">
        <v>117</v>
      </c>
      <c r="BC166" s="51">
        <f t="shared" si="35"/>
        <v>0</v>
      </c>
      <c r="BD166" s="51">
        <f t="shared" si="36"/>
        <v>0</v>
      </c>
      <c r="BE166" s="51">
        <v>0</v>
      </c>
      <c r="BF166" s="51">
        <f>166</f>
        <v>166</v>
      </c>
      <c r="BH166" s="51">
        <f t="shared" si="37"/>
        <v>0</v>
      </c>
      <c r="BI166" s="51">
        <f t="shared" si="38"/>
        <v>0</v>
      </c>
      <c r="BJ166" s="51">
        <f t="shared" si="39"/>
        <v>0</v>
      </c>
      <c r="BK166" s="53" t="s">
        <v>118</v>
      </c>
      <c r="BL166" s="51">
        <v>722</v>
      </c>
      <c r="BW166" s="51">
        <v>12</v>
      </c>
      <c r="BX166" s="3" t="s">
        <v>438</v>
      </c>
    </row>
    <row r="167" spans="1:76">
      <c r="A167" s="1" t="s">
        <v>439</v>
      </c>
      <c r="B167" s="2" t="s">
        <v>440</v>
      </c>
      <c r="C167" s="75" t="s">
        <v>441</v>
      </c>
      <c r="D167" s="70"/>
      <c r="E167" s="2" t="s">
        <v>114</v>
      </c>
      <c r="F167" s="51">
        <v>8</v>
      </c>
      <c r="G167" s="52">
        <v>0</v>
      </c>
      <c r="H167" s="51">
        <f t="shared" si="20"/>
        <v>0</v>
      </c>
      <c r="J167" s="41"/>
      <c r="Z167" s="51">
        <f t="shared" si="21"/>
        <v>0</v>
      </c>
      <c r="AB167" s="51">
        <f t="shared" si="22"/>
        <v>0</v>
      </c>
      <c r="AC167" s="51">
        <f t="shared" si="23"/>
        <v>0</v>
      </c>
      <c r="AD167" s="51">
        <f t="shared" si="24"/>
        <v>0</v>
      </c>
      <c r="AE167" s="51">
        <f t="shared" si="25"/>
        <v>0</v>
      </c>
      <c r="AF167" s="51">
        <f t="shared" si="26"/>
        <v>0</v>
      </c>
      <c r="AG167" s="51">
        <f t="shared" si="27"/>
        <v>0</v>
      </c>
      <c r="AH167" s="51">
        <f t="shared" si="28"/>
        <v>0</v>
      </c>
      <c r="AI167" s="35" t="s">
        <v>4</v>
      </c>
      <c r="AJ167" s="51">
        <f t="shared" si="29"/>
        <v>0</v>
      </c>
      <c r="AK167" s="51">
        <f t="shared" si="30"/>
        <v>0</v>
      </c>
      <c r="AL167" s="51">
        <f t="shared" si="31"/>
        <v>0</v>
      </c>
      <c r="AN167" s="51">
        <v>12</v>
      </c>
      <c r="AO167" s="51">
        <f>G167*0</f>
        <v>0</v>
      </c>
      <c r="AP167" s="51">
        <f>G167*(1-0)</f>
        <v>0</v>
      </c>
      <c r="AQ167" s="53" t="s">
        <v>149</v>
      </c>
      <c r="AV167" s="51">
        <f t="shared" si="32"/>
        <v>0</v>
      </c>
      <c r="AW167" s="51">
        <f t="shared" si="33"/>
        <v>0</v>
      </c>
      <c r="AX167" s="51">
        <f t="shared" si="34"/>
        <v>0</v>
      </c>
      <c r="AY167" s="53" t="s">
        <v>419</v>
      </c>
      <c r="AZ167" s="53" t="s">
        <v>378</v>
      </c>
      <c r="BA167" s="35" t="s">
        <v>117</v>
      </c>
      <c r="BC167" s="51">
        <f t="shared" si="35"/>
        <v>0</v>
      </c>
      <c r="BD167" s="51">
        <f t="shared" si="36"/>
        <v>0</v>
      </c>
      <c r="BE167" s="51">
        <v>0</v>
      </c>
      <c r="BF167" s="51">
        <f>167</f>
        <v>167</v>
      </c>
      <c r="BH167" s="51">
        <f t="shared" si="37"/>
        <v>0</v>
      </c>
      <c r="BI167" s="51">
        <f t="shared" si="38"/>
        <v>0</v>
      </c>
      <c r="BJ167" s="51">
        <f t="shared" si="39"/>
        <v>0</v>
      </c>
      <c r="BK167" s="53" t="s">
        <v>118</v>
      </c>
      <c r="BL167" s="51">
        <v>722</v>
      </c>
      <c r="BW167" s="51">
        <v>12</v>
      </c>
      <c r="BX167" s="3" t="s">
        <v>441</v>
      </c>
    </row>
    <row r="168" spans="1:76">
      <c r="A168" s="1" t="s">
        <v>442</v>
      </c>
      <c r="B168" s="2" t="s">
        <v>443</v>
      </c>
      <c r="C168" s="75" t="s">
        <v>444</v>
      </c>
      <c r="D168" s="70"/>
      <c r="E168" s="2" t="s">
        <v>135</v>
      </c>
      <c r="F168" s="51">
        <v>24.5</v>
      </c>
      <c r="G168" s="52">
        <v>0</v>
      </c>
      <c r="H168" s="51">
        <f t="shared" si="20"/>
        <v>0</v>
      </c>
      <c r="J168" s="41"/>
      <c r="Z168" s="51">
        <f t="shared" si="21"/>
        <v>0</v>
      </c>
      <c r="AB168" s="51">
        <f t="shared" si="22"/>
        <v>0</v>
      </c>
      <c r="AC168" s="51">
        <f t="shared" si="23"/>
        <v>0</v>
      </c>
      <c r="AD168" s="51">
        <f t="shared" si="24"/>
        <v>0</v>
      </c>
      <c r="AE168" s="51">
        <f t="shared" si="25"/>
        <v>0</v>
      </c>
      <c r="AF168" s="51">
        <f t="shared" si="26"/>
        <v>0</v>
      </c>
      <c r="AG168" s="51">
        <f t="shared" si="27"/>
        <v>0</v>
      </c>
      <c r="AH168" s="51">
        <f t="shared" si="28"/>
        <v>0</v>
      </c>
      <c r="AI168" s="35" t="s">
        <v>4</v>
      </c>
      <c r="AJ168" s="51">
        <f t="shared" si="29"/>
        <v>0</v>
      </c>
      <c r="AK168" s="51">
        <f t="shared" si="30"/>
        <v>0</v>
      </c>
      <c r="AL168" s="51">
        <f t="shared" si="31"/>
        <v>0</v>
      </c>
      <c r="AN168" s="51">
        <v>12</v>
      </c>
      <c r="AO168" s="51">
        <f>G168*0.047050418</f>
        <v>0</v>
      </c>
      <c r="AP168" s="51">
        <f>G168*(1-0.047050418)</f>
        <v>0</v>
      </c>
      <c r="AQ168" s="53" t="s">
        <v>149</v>
      </c>
      <c r="AV168" s="51">
        <f t="shared" si="32"/>
        <v>0</v>
      </c>
      <c r="AW168" s="51">
        <f t="shared" si="33"/>
        <v>0</v>
      </c>
      <c r="AX168" s="51">
        <f t="shared" si="34"/>
        <v>0</v>
      </c>
      <c r="AY168" s="53" t="s">
        <v>419</v>
      </c>
      <c r="AZ168" s="53" t="s">
        <v>378</v>
      </c>
      <c r="BA168" s="35" t="s">
        <v>117</v>
      </c>
      <c r="BC168" s="51">
        <f t="shared" si="35"/>
        <v>0</v>
      </c>
      <c r="BD168" s="51">
        <f t="shared" si="36"/>
        <v>0</v>
      </c>
      <c r="BE168" s="51">
        <v>0</v>
      </c>
      <c r="BF168" s="51">
        <f>168</f>
        <v>168</v>
      </c>
      <c r="BH168" s="51">
        <f t="shared" si="37"/>
        <v>0</v>
      </c>
      <c r="BI168" s="51">
        <f t="shared" si="38"/>
        <v>0</v>
      </c>
      <c r="BJ168" s="51">
        <f t="shared" si="39"/>
        <v>0</v>
      </c>
      <c r="BK168" s="53" t="s">
        <v>118</v>
      </c>
      <c r="BL168" s="51">
        <v>722</v>
      </c>
      <c r="BW168" s="51">
        <v>12</v>
      </c>
      <c r="BX168" s="3" t="s">
        <v>444</v>
      </c>
    </row>
    <row r="169" spans="1:76">
      <c r="A169" s="1" t="s">
        <v>445</v>
      </c>
      <c r="B169" s="2" t="s">
        <v>446</v>
      </c>
      <c r="C169" s="75" t="s">
        <v>447</v>
      </c>
      <c r="D169" s="70"/>
      <c r="E169" s="2" t="s">
        <v>135</v>
      </c>
      <c r="F169" s="51">
        <v>24.5</v>
      </c>
      <c r="G169" s="52">
        <v>0</v>
      </c>
      <c r="H169" s="51">
        <f t="shared" si="20"/>
        <v>0</v>
      </c>
      <c r="J169" s="41"/>
      <c r="Z169" s="51">
        <f t="shared" si="21"/>
        <v>0</v>
      </c>
      <c r="AB169" s="51">
        <f t="shared" si="22"/>
        <v>0</v>
      </c>
      <c r="AC169" s="51">
        <f t="shared" si="23"/>
        <v>0</v>
      </c>
      <c r="AD169" s="51">
        <f t="shared" si="24"/>
        <v>0</v>
      </c>
      <c r="AE169" s="51">
        <f t="shared" si="25"/>
        <v>0</v>
      </c>
      <c r="AF169" s="51">
        <f t="shared" si="26"/>
        <v>0</v>
      </c>
      <c r="AG169" s="51">
        <f t="shared" si="27"/>
        <v>0</v>
      </c>
      <c r="AH169" s="51">
        <f t="shared" si="28"/>
        <v>0</v>
      </c>
      <c r="AI169" s="35" t="s">
        <v>4</v>
      </c>
      <c r="AJ169" s="51">
        <f t="shared" si="29"/>
        <v>0</v>
      </c>
      <c r="AK169" s="51">
        <f t="shared" si="30"/>
        <v>0</v>
      </c>
      <c r="AL169" s="51">
        <f t="shared" si="31"/>
        <v>0</v>
      </c>
      <c r="AN169" s="51">
        <v>12</v>
      </c>
      <c r="AO169" s="51">
        <f>G169*0.01352657</f>
        <v>0</v>
      </c>
      <c r="AP169" s="51">
        <f>G169*(1-0.01352657)</f>
        <v>0</v>
      </c>
      <c r="AQ169" s="53" t="s">
        <v>149</v>
      </c>
      <c r="AV169" s="51">
        <f t="shared" si="32"/>
        <v>0</v>
      </c>
      <c r="AW169" s="51">
        <f t="shared" si="33"/>
        <v>0</v>
      </c>
      <c r="AX169" s="51">
        <f t="shared" si="34"/>
        <v>0</v>
      </c>
      <c r="AY169" s="53" t="s">
        <v>419</v>
      </c>
      <c r="AZ169" s="53" t="s">
        <v>378</v>
      </c>
      <c r="BA169" s="35" t="s">
        <v>117</v>
      </c>
      <c r="BC169" s="51">
        <f t="shared" si="35"/>
        <v>0</v>
      </c>
      <c r="BD169" s="51">
        <f t="shared" si="36"/>
        <v>0</v>
      </c>
      <c r="BE169" s="51">
        <v>0</v>
      </c>
      <c r="BF169" s="51">
        <f>169</f>
        <v>169</v>
      </c>
      <c r="BH169" s="51">
        <f t="shared" si="37"/>
        <v>0</v>
      </c>
      <c r="BI169" s="51">
        <f t="shared" si="38"/>
        <v>0</v>
      </c>
      <c r="BJ169" s="51">
        <f t="shared" si="39"/>
        <v>0</v>
      </c>
      <c r="BK169" s="53" t="s">
        <v>118</v>
      </c>
      <c r="BL169" s="51">
        <v>722</v>
      </c>
      <c r="BW169" s="51">
        <v>12</v>
      </c>
      <c r="BX169" s="3" t="s">
        <v>447</v>
      </c>
    </row>
    <row r="170" spans="1:76">
      <c r="A170" s="1" t="s">
        <v>448</v>
      </c>
      <c r="B170" s="2" t="s">
        <v>449</v>
      </c>
      <c r="C170" s="75" t="s">
        <v>450</v>
      </c>
      <c r="D170" s="70"/>
      <c r="E170" s="2" t="s">
        <v>308</v>
      </c>
      <c r="F170" s="51">
        <v>0.04</v>
      </c>
      <c r="G170" s="52">
        <v>0</v>
      </c>
      <c r="H170" s="51">
        <f t="shared" si="20"/>
        <v>0</v>
      </c>
      <c r="J170" s="41"/>
      <c r="Z170" s="51">
        <f t="shared" si="21"/>
        <v>0</v>
      </c>
      <c r="AB170" s="51">
        <f t="shared" si="22"/>
        <v>0</v>
      </c>
      <c r="AC170" s="51">
        <f t="shared" si="23"/>
        <v>0</v>
      </c>
      <c r="AD170" s="51">
        <f t="shared" si="24"/>
        <v>0</v>
      </c>
      <c r="AE170" s="51">
        <f t="shared" si="25"/>
        <v>0</v>
      </c>
      <c r="AF170" s="51">
        <f t="shared" si="26"/>
        <v>0</v>
      </c>
      <c r="AG170" s="51">
        <f t="shared" si="27"/>
        <v>0</v>
      </c>
      <c r="AH170" s="51">
        <f t="shared" si="28"/>
        <v>0</v>
      </c>
      <c r="AI170" s="35" t="s">
        <v>4</v>
      </c>
      <c r="AJ170" s="51">
        <f t="shared" si="29"/>
        <v>0</v>
      </c>
      <c r="AK170" s="51">
        <f t="shared" si="30"/>
        <v>0</v>
      </c>
      <c r="AL170" s="51">
        <f t="shared" si="31"/>
        <v>0</v>
      </c>
      <c r="AN170" s="51">
        <v>12</v>
      </c>
      <c r="AO170" s="51">
        <f>G170*0</f>
        <v>0</v>
      </c>
      <c r="AP170" s="51">
        <f>G170*(1-0)</f>
        <v>0</v>
      </c>
      <c r="AQ170" s="53" t="s">
        <v>138</v>
      </c>
      <c r="AV170" s="51">
        <f t="shared" si="32"/>
        <v>0</v>
      </c>
      <c r="AW170" s="51">
        <f t="shared" si="33"/>
        <v>0</v>
      </c>
      <c r="AX170" s="51">
        <f t="shared" si="34"/>
        <v>0</v>
      </c>
      <c r="AY170" s="53" t="s">
        <v>419</v>
      </c>
      <c r="AZ170" s="53" t="s">
        <v>378</v>
      </c>
      <c r="BA170" s="35" t="s">
        <v>117</v>
      </c>
      <c r="BC170" s="51">
        <f t="shared" si="35"/>
        <v>0</v>
      </c>
      <c r="BD170" s="51">
        <f t="shared" si="36"/>
        <v>0</v>
      </c>
      <c r="BE170" s="51">
        <v>0</v>
      </c>
      <c r="BF170" s="51">
        <f>170</f>
        <v>170</v>
      </c>
      <c r="BH170" s="51">
        <f t="shared" si="37"/>
        <v>0</v>
      </c>
      <c r="BI170" s="51">
        <f t="shared" si="38"/>
        <v>0</v>
      </c>
      <c r="BJ170" s="51">
        <f t="shared" si="39"/>
        <v>0</v>
      </c>
      <c r="BK170" s="53" t="s">
        <v>118</v>
      </c>
      <c r="BL170" s="51">
        <v>722</v>
      </c>
      <c r="BW170" s="51">
        <v>12</v>
      </c>
      <c r="BX170" s="3" t="s">
        <v>450</v>
      </c>
    </row>
    <row r="171" spans="1:76">
      <c r="A171" s="47" t="s">
        <v>4</v>
      </c>
      <c r="B171" s="48" t="s">
        <v>451</v>
      </c>
      <c r="C171" s="150" t="s">
        <v>452</v>
      </c>
      <c r="D171" s="151"/>
      <c r="E171" s="49" t="s">
        <v>79</v>
      </c>
      <c r="F171" s="49" t="s">
        <v>79</v>
      </c>
      <c r="G171" s="50" t="s">
        <v>79</v>
      </c>
      <c r="H171" s="28">
        <f>SUM(H172:H200)</f>
        <v>0</v>
      </c>
      <c r="J171" s="41"/>
      <c r="AI171" s="35" t="s">
        <v>4</v>
      </c>
      <c r="AS171" s="28">
        <f>SUM(AJ172:AJ200)</f>
        <v>0</v>
      </c>
      <c r="AT171" s="28">
        <f>SUM(AK172:AK200)</f>
        <v>0</v>
      </c>
      <c r="AU171" s="28">
        <f>SUM(AL172:AL200)</f>
        <v>0</v>
      </c>
    </row>
    <row r="172" spans="1:76">
      <c r="A172" s="1" t="s">
        <v>453</v>
      </c>
      <c r="B172" s="2" t="s">
        <v>454</v>
      </c>
      <c r="C172" s="75" t="s">
        <v>455</v>
      </c>
      <c r="D172" s="70"/>
      <c r="E172" s="2" t="s">
        <v>247</v>
      </c>
      <c r="F172" s="51">
        <v>1</v>
      </c>
      <c r="G172" s="52">
        <v>0</v>
      </c>
      <c r="H172" s="51">
        <f t="shared" ref="H172:H180" si="40">ROUND(F172*G172,2)</f>
        <v>0</v>
      </c>
      <c r="J172" s="41"/>
      <c r="Z172" s="51">
        <f t="shared" ref="Z172:Z180" si="41">ROUND(IF(AQ172="5",BJ172,0),2)</f>
        <v>0</v>
      </c>
      <c r="AB172" s="51">
        <f t="shared" ref="AB172:AB180" si="42">ROUND(IF(AQ172="1",BH172,0),2)</f>
        <v>0</v>
      </c>
      <c r="AC172" s="51">
        <f t="shared" ref="AC172:AC180" si="43">ROUND(IF(AQ172="1",BI172,0),2)</f>
        <v>0</v>
      </c>
      <c r="AD172" s="51">
        <f t="shared" ref="AD172:AD180" si="44">ROUND(IF(AQ172="7",BH172,0),2)</f>
        <v>0</v>
      </c>
      <c r="AE172" s="51">
        <f t="shared" ref="AE172:AE180" si="45">ROUND(IF(AQ172="7",BI172,0),2)</f>
        <v>0</v>
      </c>
      <c r="AF172" s="51">
        <f t="shared" ref="AF172:AF180" si="46">ROUND(IF(AQ172="2",BH172,0),2)</f>
        <v>0</v>
      </c>
      <c r="AG172" s="51">
        <f t="shared" ref="AG172:AG180" si="47">ROUND(IF(AQ172="2",BI172,0),2)</f>
        <v>0</v>
      </c>
      <c r="AH172" s="51">
        <f t="shared" ref="AH172:AH180" si="48">ROUND(IF(AQ172="0",BJ172,0),2)</f>
        <v>0</v>
      </c>
      <c r="AI172" s="35" t="s">
        <v>4</v>
      </c>
      <c r="AJ172" s="51">
        <f t="shared" ref="AJ172:AJ180" si="49">IF(AN172=0,H172,0)</f>
        <v>0</v>
      </c>
      <c r="AK172" s="51">
        <f t="shared" ref="AK172:AK180" si="50">IF(AN172=12,H172,0)</f>
        <v>0</v>
      </c>
      <c r="AL172" s="51">
        <f t="shared" ref="AL172:AL180" si="51">IF(AN172=21,H172,0)</f>
        <v>0</v>
      </c>
      <c r="AN172" s="51">
        <v>12</v>
      </c>
      <c r="AO172" s="51">
        <f t="shared" ref="AO172:AO180" si="52">G172*0</f>
        <v>0</v>
      </c>
      <c r="AP172" s="51">
        <f t="shared" ref="AP172:AP180" si="53">G172*(1-0)</f>
        <v>0</v>
      </c>
      <c r="AQ172" s="53" t="s">
        <v>149</v>
      </c>
      <c r="AV172" s="51">
        <f t="shared" ref="AV172:AV180" si="54">ROUND(AW172+AX172,2)</f>
        <v>0</v>
      </c>
      <c r="AW172" s="51">
        <f t="shared" ref="AW172:AW180" si="55">ROUND(F172*AO172,2)</f>
        <v>0</v>
      </c>
      <c r="AX172" s="51">
        <f t="shared" ref="AX172:AX180" si="56">ROUND(F172*AP172,2)</f>
        <v>0</v>
      </c>
      <c r="AY172" s="53" t="s">
        <v>456</v>
      </c>
      <c r="AZ172" s="53" t="s">
        <v>378</v>
      </c>
      <c r="BA172" s="35" t="s">
        <v>117</v>
      </c>
      <c r="BC172" s="51">
        <f t="shared" ref="BC172:BC180" si="57">AW172+AX172</f>
        <v>0</v>
      </c>
      <c r="BD172" s="51">
        <f t="shared" ref="BD172:BD180" si="58">G172/(100-BE172)*100</f>
        <v>0</v>
      </c>
      <c r="BE172" s="51">
        <v>0</v>
      </c>
      <c r="BF172" s="51">
        <f>172</f>
        <v>172</v>
      </c>
      <c r="BH172" s="51">
        <f t="shared" ref="BH172:BH180" si="59">F172*AO172</f>
        <v>0</v>
      </c>
      <c r="BI172" s="51">
        <f t="shared" ref="BI172:BI180" si="60">F172*AP172</f>
        <v>0</v>
      </c>
      <c r="BJ172" s="51">
        <f t="shared" ref="BJ172:BJ180" si="61">F172*G172</f>
        <v>0</v>
      </c>
      <c r="BK172" s="53" t="s">
        <v>118</v>
      </c>
      <c r="BL172" s="51">
        <v>725</v>
      </c>
      <c r="BW172" s="51">
        <v>12</v>
      </c>
      <c r="BX172" s="3" t="s">
        <v>455</v>
      </c>
    </row>
    <row r="173" spans="1:76">
      <c r="A173" s="1" t="s">
        <v>457</v>
      </c>
      <c r="B173" s="2" t="s">
        <v>458</v>
      </c>
      <c r="C173" s="75" t="s">
        <v>459</v>
      </c>
      <c r="D173" s="70"/>
      <c r="E173" s="2" t="s">
        <v>247</v>
      </c>
      <c r="F173" s="51">
        <v>1</v>
      </c>
      <c r="G173" s="52">
        <v>0</v>
      </c>
      <c r="H173" s="51">
        <f t="shared" si="40"/>
        <v>0</v>
      </c>
      <c r="J173" s="41"/>
      <c r="Z173" s="51">
        <f t="shared" si="41"/>
        <v>0</v>
      </c>
      <c r="AB173" s="51">
        <f t="shared" si="42"/>
        <v>0</v>
      </c>
      <c r="AC173" s="51">
        <f t="shared" si="43"/>
        <v>0</v>
      </c>
      <c r="AD173" s="51">
        <f t="shared" si="44"/>
        <v>0</v>
      </c>
      <c r="AE173" s="51">
        <f t="shared" si="45"/>
        <v>0</v>
      </c>
      <c r="AF173" s="51">
        <f t="shared" si="46"/>
        <v>0</v>
      </c>
      <c r="AG173" s="51">
        <f t="shared" si="47"/>
        <v>0</v>
      </c>
      <c r="AH173" s="51">
        <f t="shared" si="48"/>
        <v>0</v>
      </c>
      <c r="AI173" s="35" t="s">
        <v>4</v>
      </c>
      <c r="AJ173" s="51">
        <f t="shared" si="49"/>
        <v>0</v>
      </c>
      <c r="AK173" s="51">
        <f t="shared" si="50"/>
        <v>0</v>
      </c>
      <c r="AL173" s="51">
        <f t="shared" si="51"/>
        <v>0</v>
      </c>
      <c r="AN173" s="51">
        <v>12</v>
      </c>
      <c r="AO173" s="51">
        <f t="shared" si="52"/>
        <v>0</v>
      </c>
      <c r="AP173" s="51">
        <f t="shared" si="53"/>
        <v>0</v>
      </c>
      <c r="AQ173" s="53" t="s">
        <v>149</v>
      </c>
      <c r="AV173" s="51">
        <f t="shared" si="54"/>
        <v>0</v>
      </c>
      <c r="AW173" s="51">
        <f t="shared" si="55"/>
        <v>0</v>
      </c>
      <c r="AX173" s="51">
        <f t="shared" si="56"/>
        <v>0</v>
      </c>
      <c r="AY173" s="53" t="s">
        <v>456</v>
      </c>
      <c r="AZ173" s="53" t="s">
        <v>378</v>
      </c>
      <c r="BA173" s="35" t="s">
        <v>117</v>
      </c>
      <c r="BC173" s="51">
        <f t="shared" si="57"/>
        <v>0</v>
      </c>
      <c r="BD173" s="51">
        <f t="shared" si="58"/>
        <v>0</v>
      </c>
      <c r="BE173" s="51">
        <v>0</v>
      </c>
      <c r="BF173" s="51">
        <f>173</f>
        <v>173</v>
      </c>
      <c r="BH173" s="51">
        <f t="shared" si="59"/>
        <v>0</v>
      </c>
      <c r="BI173" s="51">
        <f t="shared" si="60"/>
        <v>0</v>
      </c>
      <c r="BJ173" s="51">
        <f t="shared" si="61"/>
        <v>0</v>
      </c>
      <c r="BK173" s="53" t="s">
        <v>118</v>
      </c>
      <c r="BL173" s="51">
        <v>725</v>
      </c>
      <c r="BW173" s="51">
        <v>12</v>
      </c>
      <c r="BX173" s="3" t="s">
        <v>459</v>
      </c>
    </row>
    <row r="174" spans="1:76">
      <c r="A174" s="1" t="s">
        <v>460</v>
      </c>
      <c r="B174" s="2" t="s">
        <v>461</v>
      </c>
      <c r="C174" s="75" t="s">
        <v>462</v>
      </c>
      <c r="D174" s="70"/>
      <c r="E174" s="2" t="s">
        <v>114</v>
      </c>
      <c r="F174" s="51">
        <v>1</v>
      </c>
      <c r="G174" s="52">
        <v>0</v>
      </c>
      <c r="H174" s="51">
        <f t="shared" si="40"/>
        <v>0</v>
      </c>
      <c r="J174" s="41"/>
      <c r="Z174" s="51">
        <f t="shared" si="41"/>
        <v>0</v>
      </c>
      <c r="AB174" s="51">
        <f t="shared" si="42"/>
        <v>0</v>
      </c>
      <c r="AC174" s="51">
        <f t="shared" si="43"/>
        <v>0</v>
      </c>
      <c r="AD174" s="51">
        <f t="shared" si="44"/>
        <v>0</v>
      </c>
      <c r="AE174" s="51">
        <f t="shared" si="45"/>
        <v>0</v>
      </c>
      <c r="AF174" s="51">
        <f t="shared" si="46"/>
        <v>0</v>
      </c>
      <c r="AG174" s="51">
        <f t="shared" si="47"/>
        <v>0</v>
      </c>
      <c r="AH174" s="51">
        <f t="shared" si="48"/>
        <v>0</v>
      </c>
      <c r="AI174" s="35" t="s">
        <v>4</v>
      </c>
      <c r="AJ174" s="51">
        <f t="shared" si="49"/>
        <v>0</v>
      </c>
      <c r="AK174" s="51">
        <f t="shared" si="50"/>
        <v>0</v>
      </c>
      <c r="AL174" s="51">
        <f t="shared" si="51"/>
        <v>0</v>
      </c>
      <c r="AN174" s="51">
        <v>12</v>
      </c>
      <c r="AO174" s="51">
        <f t="shared" si="52"/>
        <v>0</v>
      </c>
      <c r="AP174" s="51">
        <f t="shared" si="53"/>
        <v>0</v>
      </c>
      <c r="AQ174" s="53" t="s">
        <v>149</v>
      </c>
      <c r="AV174" s="51">
        <f t="shared" si="54"/>
        <v>0</v>
      </c>
      <c r="AW174" s="51">
        <f t="shared" si="55"/>
        <v>0</v>
      </c>
      <c r="AX174" s="51">
        <f t="shared" si="56"/>
        <v>0</v>
      </c>
      <c r="AY174" s="53" t="s">
        <v>456</v>
      </c>
      <c r="AZ174" s="53" t="s">
        <v>378</v>
      </c>
      <c r="BA174" s="35" t="s">
        <v>117</v>
      </c>
      <c r="BC174" s="51">
        <f t="shared" si="57"/>
        <v>0</v>
      </c>
      <c r="BD174" s="51">
        <f t="shared" si="58"/>
        <v>0</v>
      </c>
      <c r="BE174" s="51">
        <v>0</v>
      </c>
      <c r="BF174" s="51">
        <f>174</f>
        <v>174</v>
      </c>
      <c r="BH174" s="51">
        <f t="shared" si="59"/>
        <v>0</v>
      </c>
      <c r="BI174" s="51">
        <f t="shared" si="60"/>
        <v>0</v>
      </c>
      <c r="BJ174" s="51">
        <f t="shared" si="61"/>
        <v>0</v>
      </c>
      <c r="BK174" s="53" t="s">
        <v>118</v>
      </c>
      <c r="BL174" s="51">
        <v>725</v>
      </c>
      <c r="BW174" s="51">
        <v>12</v>
      </c>
      <c r="BX174" s="3" t="s">
        <v>462</v>
      </c>
    </row>
    <row r="175" spans="1:76">
      <c r="A175" s="1" t="s">
        <v>463</v>
      </c>
      <c r="B175" s="2" t="s">
        <v>464</v>
      </c>
      <c r="C175" s="75" t="s">
        <v>465</v>
      </c>
      <c r="D175" s="70"/>
      <c r="E175" s="2" t="s">
        <v>247</v>
      </c>
      <c r="F175" s="51">
        <v>2</v>
      </c>
      <c r="G175" s="52">
        <v>0</v>
      </c>
      <c r="H175" s="51">
        <f t="shared" si="40"/>
        <v>0</v>
      </c>
      <c r="J175" s="41"/>
      <c r="Z175" s="51">
        <f t="shared" si="41"/>
        <v>0</v>
      </c>
      <c r="AB175" s="51">
        <f t="shared" si="42"/>
        <v>0</v>
      </c>
      <c r="AC175" s="51">
        <f t="shared" si="43"/>
        <v>0</v>
      </c>
      <c r="AD175" s="51">
        <f t="shared" si="44"/>
        <v>0</v>
      </c>
      <c r="AE175" s="51">
        <f t="shared" si="45"/>
        <v>0</v>
      </c>
      <c r="AF175" s="51">
        <f t="shared" si="46"/>
        <v>0</v>
      </c>
      <c r="AG175" s="51">
        <f t="shared" si="47"/>
        <v>0</v>
      </c>
      <c r="AH175" s="51">
        <f t="shared" si="48"/>
        <v>0</v>
      </c>
      <c r="AI175" s="35" t="s">
        <v>4</v>
      </c>
      <c r="AJ175" s="51">
        <f t="shared" si="49"/>
        <v>0</v>
      </c>
      <c r="AK175" s="51">
        <f t="shared" si="50"/>
        <v>0</v>
      </c>
      <c r="AL175" s="51">
        <f t="shared" si="51"/>
        <v>0</v>
      </c>
      <c r="AN175" s="51">
        <v>12</v>
      </c>
      <c r="AO175" s="51">
        <f t="shared" si="52"/>
        <v>0</v>
      </c>
      <c r="AP175" s="51">
        <f t="shared" si="53"/>
        <v>0</v>
      </c>
      <c r="AQ175" s="53" t="s">
        <v>149</v>
      </c>
      <c r="AV175" s="51">
        <f t="shared" si="54"/>
        <v>0</v>
      </c>
      <c r="AW175" s="51">
        <f t="shared" si="55"/>
        <v>0</v>
      </c>
      <c r="AX175" s="51">
        <f t="shared" si="56"/>
        <v>0</v>
      </c>
      <c r="AY175" s="53" t="s">
        <v>456</v>
      </c>
      <c r="AZ175" s="53" t="s">
        <v>378</v>
      </c>
      <c r="BA175" s="35" t="s">
        <v>117</v>
      </c>
      <c r="BC175" s="51">
        <f t="shared" si="57"/>
        <v>0</v>
      </c>
      <c r="BD175" s="51">
        <f t="shared" si="58"/>
        <v>0</v>
      </c>
      <c r="BE175" s="51">
        <v>0</v>
      </c>
      <c r="BF175" s="51">
        <f>175</f>
        <v>175</v>
      </c>
      <c r="BH175" s="51">
        <f t="shared" si="59"/>
        <v>0</v>
      </c>
      <c r="BI175" s="51">
        <f t="shared" si="60"/>
        <v>0</v>
      </c>
      <c r="BJ175" s="51">
        <f t="shared" si="61"/>
        <v>0</v>
      </c>
      <c r="BK175" s="53" t="s">
        <v>118</v>
      </c>
      <c r="BL175" s="51">
        <v>725</v>
      </c>
      <c r="BW175" s="51">
        <v>12</v>
      </c>
      <c r="BX175" s="3" t="s">
        <v>465</v>
      </c>
    </row>
    <row r="176" spans="1:76">
      <c r="A176" s="1" t="s">
        <v>466</v>
      </c>
      <c r="B176" s="2" t="s">
        <v>467</v>
      </c>
      <c r="C176" s="75" t="s">
        <v>468</v>
      </c>
      <c r="D176" s="70"/>
      <c r="E176" s="2" t="s">
        <v>114</v>
      </c>
      <c r="F176" s="51">
        <v>3</v>
      </c>
      <c r="G176" s="52">
        <v>0</v>
      </c>
      <c r="H176" s="51">
        <f t="shared" si="40"/>
        <v>0</v>
      </c>
      <c r="J176" s="41"/>
      <c r="Z176" s="51">
        <f t="shared" si="41"/>
        <v>0</v>
      </c>
      <c r="AB176" s="51">
        <f t="shared" si="42"/>
        <v>0</v>
      </c>
      <c r="AC176" s="51">
        <f t="shared" si="43"/>
        <v>0</v>
      </c>
      <c r="AD176" s="51">
        <f t="shared" si="44"/>
        <v>0</v>
      </c>
      <c r="AE176" s="51">
        <f t="shared" si="45"/>
        <v>0</v>
      </c>
      <c r="AF176" s="51">
        <f t="shared" si="46"/>
        <v>0</v>
      </c>
      <c r="AG176" s="51">
        <f t="shared" si="47"/>
        <v>0</v>
      </c>
      <c r="AH176" s="51">
        <f t="shared" si="48"/>
        <v>0</v>
      </c>
      <c r="AI176" s="35" t="s">
        <v>4</v>
      </c>
      <c r="AJ176" s="51">
        <f t="shared" si="49"/>
        <v>0</v>
      </c>
      <c r="AK176" s="51">
        <f t="shared" si="50"/>
        <v>0</v>
      </c>
      <c r="AL176" s="51">
        <f t="shared" si="51"/>
        <v>0</v>
      </c>
      <c r="AN176" s="51">
        <v>12</v>
      </c>
      <c r="AO176" s="51">
        <f t="shared" si="52"/>
        <v>0</v>
      </c>
      <c r="AP176" s="51">
        <f t="shared" si="53"/>
        <v>0</v>
      </c>
      <c r="AQ176" s="53" t="s">
        <v>149</v>
      </c>
      <c r="AV176" s="51">
        <f t="shared" si="54"/>
        <v>0</v>
      </c>
      <c r="AW176" s="51">
        <f t="shared" si="55"/>
        <v>0</v>
      </c>
      <c r="AX176" s="51">
        <f t="shared" si="56"/>
        <v>0</v>
      </c>
      <c r="AY176" s="53" t="s">
        <v>456</v>
      </c>
      <c r="AZ176" s="53" t="s">
        <v>378</v>
      </c>
      <c r="BA176" s="35" t="s">
        <v>117</v>
      </c>
      <c r="BC176" s="51">
        <f t="shared" si="57"/>
        <v>0</v>
      </c>
      <c r="BD176" s="51">
        <f t="shared" si="58"/>
        <v>0</v>
      </c>
      <c r="BE176" s="51">
        <v>0</v>
      </c>
      <c r="BF176" s="51">
        <f>176</f>
        <v>176</v>
      </c>
      <c r="BH176" s="51">
        <f t="shared" si="59"/>
        <v>0</v>
      </c>
      <c r="BI176" s="51">
        <f t="shared" si="60"/>
        <v>0</v>
      </c>
      <c r="BJ176" s="51">
        <f t="shared" si="61"/>
        <v>0</v>
      </c>
      <c r="BK176" s="53" t="s">
        <v>118</v>
      </c>
      <c r="BL176" s="51">
        <v>725</v>
      </c>
      <c r="BW176" s="51">
        <v>12</v>
      </c>
      <c r="BX176" s="3" t="s">
        <v>468</v>
      </c>
    </row>
    <row r="177" spans="1:76">
      <c r="A177" s="1" t="s">
        <v>469</v>
      </c>
      <c r="B177" s="2" t="s">
        <v>470</v>
      </c>
      <c r="C177" s="75" t="s">
        <v>471</v>
      </c>
      <c r="D177" s="70"/>
      <c r="E177" s="2" t="s">
        <v>247</v>
      </c>
      <c r="F177" s="51">
        <v>1</v>
      </c>
      <c r="G177" s="52">
        <v>0</v>
      </c>
      <c r="H177" s="51">
        <f t="shared" si="40"/>
        <v>0</v>
      </c>
      <c r="J177" s="41"/>
      <c r="Z177" s="51">
        <f t="shared" si="41"/>
        <v>0</v>
      </c>
      <c r="AB177" s="51">
        <f t="shared" si="42"/>
        <v>0</v>
      </c>
      <c r="AC177" s="51">
        <f t="shared" si="43"/>
        <v>0</v>
      </c>
      <c r="AD177" s="51">
        <f t="shared" si="44"/>
        <v>0</v>
      </c>
      <c r="AE177" s="51">
        <f t="shared" si="45"/>
        <v>0</v>
      </c>
      <c r="AF177" s="51">
        <f t="shared" si="46"/>
        <v>0</v>
      </c>
      <c r="AG177" s="51">
        <f t="shared" si="47"/>
        <v>0</v>
      </c>
      <c r="AH177" s="51">
        <f t="shared" si="48"/>
        <v>0</v>
      </c>
      <c r="AI177" s="35" t="s">
        <v>4</v>
      </c>
      <c r="AJ177" s="51">
        <f t="shared" si="49"/>
        <v>0</v>
      </c>
      <c r="AK177" s="51">
        <f t="shared" si="50"/>
        <v>0</v>
      </c>
      <c r="AL177" s="51">
        <f t="shared" si="51"/>
        <v>0</v>
      </c>
      <c r="AN177" s="51">
        <v>12</v>
      </c>
      <c r="AO177" s="51">
        <f t="shared" si="52"/>
        <v>0</v>
      </c>
      <c r="AP177" s="51">
        <f t="shared" si="53"/>
        <v>0</v>
      </c>
      <c r="AQ177" s="53" t="s">
        <v>149</v>
      </c>
      <c r="AV177" s="51">
        <f t="shared" si="54"/>
        <v>0</v>
      </c>
      <c r="AW177" s="51">
        <f t="shared" si="55"/>
        <v>0</v>
      </c>
      <c r="AX177" s="51">
        <f t="shared" si="56"/>
        <v>0</v>
      </c>
      <c r="AY177" s="53" t="s">
        <v>456</v>
      </c>
      <c r="AZ177" s="53" t="s">
        <v>378</v>
      </c>
      <c r="BA177" s="35" t="s">
        <v>117</v>
      </c>
      <c r="BC177" s="51">
        <f t="shared" si="57"/>
        <v>0</v>
      </c>
      <c r="BD177" s="51">
        <f t="shared" si="58"/>
        <v>0</v>
      </c>
      <c r="BE177" s="51">
        <v>0</v>
      </c>
      <c r="BF177" s="51">
        <f>177</f>
        <v>177</v>
      </c>
      <c r="BH177" s="51">
        <f t="shared" si="59"/>
        <v>0</v>
      </c>
      <c r="BI177" s="51">
        <f t="shared" si="60"/>
        <v>0</v>
      </c>
      <c r="BJ177" s="51">
        <f t="shared" si="61"/>
        <v>0</v>
      </c>
      <c r="BK177" s="53" t="s">
        <v>118</v>
      </c>
      <c r="BL177" s="51">
        <v>725</v>
      </c>
      <c r="BW177" s="51">
        <v>12</v>
      </c>
      <c r="BX177" s="3" t="s">
        <v>471</v>
      </c>
    </row>
    <row r="178" spans="1:76">
      <c r="A178" s="1" t="s">
        <v>472</v>
      </c>
      <c r="B178" s="2" t="s">
        <v>473</v>
      </c>
      <c r="C178" s="75" t="s">
        <v>474</v>
      </c>
      <c r="D178" s="70"/>
      <c r="E178" s="2" t="s">
        <v>247</v>
      </c>
      <c r="F178" s="51">
        <v>3</v>
      </c>
      <c r="G178" s="52">
        <v>0</v>
      </c>
      <c r="H178" s="51">
        <f t="shared" si="40"/>
        <v>0</v>
      </c>
      <c r="J178" s="41"/>
      <c r="Z178" s="51">
        <f t="shared" si="41"/>
        <v>0</v>
      </c>
      <c r="AB178" s="51">
        <f t="shared" si="42"/>
        <v>0</v>
      </c>
      <c r="AC178" s="51">
        <f t="shared" si="43"/>
        <v>0</v>
      </c>
      <c r="AD178" s="51">
        <f t="shared" si="44"/>
        <v>0</v>
      </c>
      <c r="AE178" s="51">
        <f t="shared" si="45"/>
        <v>0</v>
      </c>
      <c r="AF178" s="51">
        <f t="shared" si="46"/>
        <v>0</v>
      </c>
      <c r="AG178" s="51">
        <f t="shared" si="47"/>
        <v>0</v>
      </c>
      <c r="AH178" s="51">
        <f t="shared" si="48"/>
        <v>0</v>
      </c>
      <c r="AI178" s="35" t="s">
        <v>4</v>
      </c>
      <c r="AJ178" s="51">
        <f t="shared" si="49"/>
        <v>0</v>
      </c>
      <c r="AK178" s="51">
        <f t="shared" si="50"/>
        <v>0</v>
      </c>
      <c r="AL178" s="51">
        <f t="shared" si="51"/>
        <v>0</v>
      </c>
      <c r="AN178" s="51">
        <v>12</v>
      </c>
      <c r="AO178" s="51">
        <f t="shared" si="52"/>
        <v>0</v>
      </c>
      <c r="AP178" s="51">
        <f t="shared" si="53"/>
        <v>0</v>
      </c>
      <c r="AQ178" s="53" t="s">
        <v>149</v>
      </c>
      <c r="AV178" s="51">
        <f t="shared" si="54"/>
        <v>0</v>
      </c>
      <c r="AW178" s="51">
        <f t="shared" si="55"/>
        <v>0</v>
      </c>
      <c r="AX178" s="51">
        <f t="shared" si="56"/>
        <v>0</v>
      </c>
      <c r="AY178" s="53" t="s">
        <v>456</v>
      </c>
      <c r="AZ178" s="53" t="s">
        <v>378</v>
      </c>
      <c r="BA178" s="35" t="s">
        <v>117</v>
      </c>
      <c r="BC178" s="51">
        <f t="shared" si="57"/>
        <v>0</v>
      </c>
      <c r="BD178" s="51">
        <f t="shared" si="58"/>
        <v>0</v>
      </c>
      <c r="BE178" s="51">
        <v>0</v>
      </c>
      <c r="BF178" s="51">
        <f>178</f>
        <v>178</v>
      </c>
      <c r="BH178" s="51">
        <f t="shared" si="59"/>
        <v>0</v>
      </c>
      <c r="BI178" s="51">
        <f t="shared" si="60"/>
        <v>0</v>
      </c>
      <c r="BJ178" s="51">
        <f t="shared" si="61"/>
        <v>0</v>
      </c>
      <c r="BK178" s="53" t="s">
        <v>118</v>
      </c>
      <c r="BL178" s="51">
        <v>725</v>
      </c>
      <c r="BW178" s="51">
        <v>12</v>
      </c>
      <c r="BX178" s="3" t="s">
        <v>474</v>
      </c>
    </row>
    <row r="179" spans="1:76">
      <c r="A179" s="1" t="s">
        <v>475</v>
      </c>
      <c r="B179" s="2" t="s">
        <v>467</v>
      </c>
      <c r="C179" s="75" t="s">
        <v>468</v>
      </c>
      <c r="D179" s="70"/>
      <c r="E179" s="2" t="s">
        <v>114</v>
      </c>
      <c r="F179" s="51">
        <v>3</v>
      </c>
      <c r="G179" s="52">
        <v>0</v>
      </c>
      <c r="H179" s="51">
        <f t="shared" si="40"/>
        <v>0</v>
      </c>
      <c r="J179" s="41"/>
      <c r="Z179" s="51">
        <f t="shared" si="41"/>
        <v>0</v>
      </c>
      <c r="AB179" s="51">
        <f t="shared" si="42"/>
        <v>0</v>
      </c>
      <c r="AC179" s="51">
        <f t="shared" si="43"/>
        <v>0</v>
      </c>
      <c r="AD179" s="51">
        <f t="shared" si="44"/>
        <v>0</v>
      </c>
      <c r="AE179" s="51">
        <f t="shared" si="45"/>
        <v>0</v>
      </c>
      <c r="AF179" s="51">
        <f t="shared" si="46"/>
        <v>0</v>
      </c>
      <c r="AG179" s="51">
        <f t="shared" si="47"/>
        <v>0</v>
      </c>
      <c r="AH179" s="51">
        <f t="shared" si="48"/>
        <v>0</v>
      </c>
      <c r="AI179" s="35" t="s">
        <v>4</v>
      </c>
      <c r="AJ179" s="51">
        <f t="shared" si="49"/>
        <v>0</v>
      </c>
      <c r="AK179" s="51">
        <f t="shared" si="50"/>
        <v>0</v>
      </c>
      <c r="AL179" s="51">
        <f t="shared" si="51"/>
        <v>0</v>
      </c>
      <c r="AN179" s="51">
        <v>12</v>
      </c>
      <c r="AO179" s="51">
        <f t="shared" si="52"/>
        <v>0</v>
      </c>
      <c r="AP179" s="51">
        <f t="shared" si="53"/>
        <v>0</v>
      </c>
      <c r="AQ179" s="53" t="s">
        <v>149</v>
      </c>
      <c r="AV179" s="51">
        <f t="shared" si="54"/>
        <v>0</v>
      </c>
      <c r="AW179" s="51">
        <f t="shared" si="55"/>
        <v>0</v>
      </c>
      <c r="AX179" s="51">
        <f t="shared" si="56"/>
        <v>0</v>
      </c>
      <c r="AY179" s="53" t="s">
        <v>456</v>
      </c>
      <c r="AZ179" s="53" t="s">
        <v>378</v>
      </c>
      <c r="BA179" s="35" t="s">
        <v>117</v>
      </c>
      <c r="BC179" s="51">
        <f t="shared" si="57"/>
        <v>0</v>
      </c>
      <c r="BD179" s="51">
        <f t="shared" si="58"/>
        <v>0</v>
      </c>
      <c r="BE179" s="51">
        <v>0</v>
      </c>
      <c r="BF179" s="51">
        <f>179</f>
        <v>179</v>
      </c>
      <c r="BH179" s="51">
        <f t="shared" si="59"/>
        <v>0</v>
      </c>
      <c r="BI179" s="51">
        <f t="shared" si="60"/>
        <v>0</v>
      </c>
      <c r="BJ179" s="51">
        <f t="shared" si="61"/>
        <v>0</v>
      </c>
      <c r="BK179" s="53" t="s">
        <v>118</v>
      </c>
      <c r="BL179" s="51">
        <v>725</v>
      </c>
      <c r="BW179" s="51">
        <v>12</v>
      </c>
      <c r="BX179" s="3" t="s">
        <v>468</v>
      </c>
    </row>
    <row r="180" spans="1:76">
      <c r="A180" s="1" t="s">
        <v>476</v>
      </c>
      <c r="B180" s="2" t="s">
        <v>477</v>
      </c>
      <c r="C180" s="75" t="s">
        <v>478</v>
      </c>
      <c r="D180" s="70"/>
      <c r="E180" s="2" t="s">
        <v>114</v>
      </c>
      <c r="F180" s="51">
        <v>1</v>
      </c>
      <c r="G180" s="52">
        <v>0</v>
      </c>
      <c r="H180" s="51">
        <f t="shared" si="40"/>
        <v>0</v>
      </c>
      <c r="J180" s="41"/>
      <c r="Z180" s="51">
        <f t="shared" si="41"/>
        <v>0</v>
      </c>
      <c r="AB180" s="51">
        <f t="shared" si="42"/>
        <v>0</v>
      </c>
      <c r="AC180" s="51">
        <f t="shared" si="43"/>
        <v>0</v>
      </c>
      <c r="AD180" s="51">
        <f t="shared" si="44"/>
        <v>0</v>
      </c>
      <c r="AE180" s="51">
        <f t="shared" si="45"/>
        <v>0</v>
      </c>
      <c r="AF180" s="51">
        <f t="shared" si="46"/>
        <v>0</v>
      </c>
      <c r="AG180" s="51">
        <f t="shared" si="47"/>
        <v>0</v>
      </c>
      <c r="AH180" s="51">
        <f t="shared" si="48"/>
        <v>0</v>
      </c>
      <c r="AI180" s="35" t="s">
        <v>4</v>
      </c>
      <c r="AJ180" s="51">
        <f t="shared" si="49"/>
        <v>0</v>
      </c>
      <c r="AK180" s="51">
        <f t="shared" si="50"/>
        <v>0</v>
      </c>
      <c r="AL180" s="51">
        <f t="shared" si="51"/>
        <v>0</v>
      </c>
      <c r="AN180" s="51">
        <v>12</v>
      </c>
      <c r="AO180" s="51">
        <f t="shared" si="52"/>
        <v>0</v>
      </c>
      <c r="AP180" s="51">
        <f t="shared" si="53"/>
        <v>0</v>
      </c>
      <c r="AQ180" s="53" t="s">
        <v>149</v>
      </c>
      <c r="AV180" s="51">
        <f t="shared" si="54"/>
        <v>0</v>
      </c>
      <c r="AW180" s="51">
        <f t="shared" si="55"/>
        <v>0</v>
      </c>
      <c r="AX180" s="51">
        <f t="shared" si="56"/>
        <v>0</v>
      </c>
      <c r="AY180" s="53" t="s">
        <v>456</v>
      </c>
      <c r="AZ180" s="53" t="s">
        <v>378</v>
      </c>
      <c r="BA180" s="35" t="s">
        <v>117</v>
      </c>
      <c r="BC180" s="51">
        <f t="shared" si="57"/>
        <v>0</v>
      </c>
      <c r="BD180" s="51">
        <f t="shared" si="58"/>
        <v>0</v>
      </c>
      <c r="BE180" s="51">
        <v>0</v>
      </c>
      <c r="BF180" s="51">
        <f>180</f>
        <v>180</v>
      </c>
      <c r="BH180" s="51">
        <f t="shared" si="59"/>
        <v>0</v>
      </c>
      <c r="BI180" s="51">
        <f t="shared" si="60"/>
        <v>0</v>
      </c>
      <c r="BJ180" s="51">
        <f t="shared" si="61"/>
        <v>0</v>
      </c>
      <c r="BK180" s="53" t="s">
        <v>118</v>
      </c>
      <c r="BL180" s="51">
        <v>725</v>
      </c>
      <c r="BW180" s="51">
        <v>12</v>
      </c>
      <c r="BX180" s="3" t="s">
        <v>478</v>
      </c>
    </row>
    <row r="181" spans="1:76">
      <c r="A181" s="54"/>
      <c r="C181" s="56" t="s">
        <v>111</v>
      </c>
      <c r="D181" s="57" t="s">
        <v>479</v>
      </c>
      <c r="F181" s="58">
        <v>1</v>
      </c>
      <c r="J181" s="41"/>
    </row>
    <row r="182" spans="1:76">
      <c r="A182" s="1" t="s">
        <v>480</v>
      </c>
      <c r="B182" s="2" t="s">
        <v>481</v>
      </c>
      <c r="C182" s="75" t="s">
        <v>482</v>
      </c>
      <c r="D182" s="70"/>
      <c r="E182" s="2" t="s">
        <v>247</v>
      </c>
      <c r="F182" s="51">
        <v>1</v>
      </c>
      <c r="G182" s="52">
        <v>0</v>
      </c>
      <c r="H182" s="51">
        <f t="shared" ref="H182:H200" si="62">ROUND(F182*G182,2)</f>
        <v>0</v>
      </c>
      <c r="J182" s="41"/>
      <c r="Z182" s="51">
        <f t="shared" ref="Z182:Z200" si="63">ROUND(IF(AQ182="5",BJ182,0),2)</f>
        <v>0</v>
      </c>
      <c r="AB182" s="51">
        <f t="shared" ref="AB182:AB200" si="64">ROUND(IF(AQ182="1",BH182,0),2)</f>
        <v>0</v>
      </c>
      <c r="AC182" s="51">
        <f t="shared" ref="AC182:AC200" si="65">ROUND(IF(AQ182="1",BI182,0),2)</f>
        <v>0</v>
      </c>
      <c r="AD182" s="51">
        <f t="shared" ref="AD182:AD200" si="66">ROUND(IF(AQ182="7",BH182,0),2)</f>
        <v>0</v>
      </c>
      <c r="AE182" s="51">
        <f t="shared" ref="AE182:AE200" si="67">ROUND(IF(AQ182="7",BI182,0),2)</f>
        <v>0</v>
      </c>
      <c r="AF182" s="51">
        <f t="shared" ref="AF182:AF200" si="68">ROUND(IF(AQ182="2",BH182,0),2)</f>
        <v>0</v>
      </c>
      <c r="AG182" s="51">
        <f t="shared" ref="AG182:AG200" si="69">ROUND(IF(AQ182="2",BI182,0),2)</f>
        <v>0</v>
      </c>
      <c r="AH182" s="51">
        <f t="shared" ref="AH182:AH200" si="70">ROUND(IF(AQ182="0",BJ182,0),2)</f>
        <v>0</v>
      </c>
      <c r="AI182" s="35" t="s">
        <v>4</v>
      </c>
      <c r="AJ182" s="51">
        <f t="shared" ref="AJ182:AJ200" si="71">IF(AN182=0,H182,0)</f>
        <v>0</v>
      </c>
      <c r="AK182" s="51">
        <f t="shared" ref="AK182:AK200" si="72">IF(AN182=12,H182,0)</f>
        <v>0</v>
      </c>
      <c r="AL182" s="51">
        <f t="shared" ref="AL182:AL200" si="73">IF(AN182=21,H182,0)</f>
        <v>0</v>
      </c>
      <c r="AN182" s="51">
        <v>12</v>
      </c>
      <c r="AO182" s="51">
        <f>G182*0.136845966</f>
        <v>0</v>
      </c>
      <c r="AP182" s="51">
        <f>G182*(1-0.136845966)</f>
        <v>0</v>
      </c>
      <c r="AQ182" s="53" t="s">
        <v>149</v>
      </c>
      <c r="AV182" s="51">
        <f t="shared" ref="AV182:AV200" si="74">ROUND(AW182+AX182,2)</f>
        <v>0</v>
      </c>
      <c r="AW182" s="51">
        <f t="shared" ref="AW182:AW200" si="75">ROUND(F182*AO182,2)</f>
        <v>0</v>
      </c>
      <c r="AX182" s="51">
        <f t="shared" ref="AX182:AX200" si="76">ROUND(F182*AP182,2)</f>
        <v>0</v>
      </c>
      <c r="AY182" s="53" t="s">
        <v>456</v>
      </c>
      <c r="AZ182" s="53" t="s">
        <v>378</v>
      </c>
      <c r="BA182" s="35" t="s">
        <v>117</v>
      </c>
      <c r="BC182" s="51">
        <f t="shared" ref="BC182:BC200" si="77">AW182+AX182</f>
        <v>0</v>
      </c>
      <c r="BD182" s="51">
        <f t="shared" ref="BD182:BD200" si="78">G182/(100-BE182)*100</f>
        <v>0</v>
      </c>
      <c r="BE182" s="51">
        <v>0</v>
      </c>
      <c r="BF182" s="51">
        <f>182</f>
        <v>182</v>
      </c>
      <c r="BH182" s="51">
        <f t="shared" ref="BH182:BH200" si="79">F182*AO182</f>
        <v>0</v>
      </c>
      <c r="BI182" s="51">
        <f t="shared" ref="BI182:BI200" si="80">F182*AP182</f>
        <v>0</v>
      </c>
      <c r="BJ182" s="51">
        <f t="shared" ref="BJ182:BJ200" si="81">F182*G182</f>
        <v>0</v>
      </c>
      <c r="BK182" s="53" t="s">
        <v>118</v>
      </c>
      <c r="BL182" s="51">
        <v>725</v>
      </c>
      <c r="BW182" s="51">
        <v>12</v>
      </c>
      <c r="BX182" s="3" t="s">
        <v>482</v>
      </c>
    </row>
    <row r="183" spans="1:76">
      <c r="A183" s="1" t="s">
        <v>483</v>
      </c>
      <c r="B183" s="2" t="s">
        <v>484</v>
      </c>
      <c r="C183" s="75" t="s">
        <v>485</v>
      </c>
      <c r="D183" s="70"/>
      <c r="E183" s="2" t="s">
        <v>247</v>
      </c>
      <c r="F183" s="51">
        <v>1</v>
      </c>
      <c r="G183" s="52">
        <v>0</v>
      </c>
      <c r="H183" s="51">
        <f t="shared" si="62"/>
        <v>0</v>
      </c>
      <c r="J183" s="41"/>
      <c r="Z183" s="51">
        <f t="shared" si="63"/>
        <v>0</v>
      </c>
      <c r="AB183" s="51">
        <f t="shared" si="64"/>
        <v>0</v>
      </c>
      <c r="AC183" s="51">
        <f t="shared" si="65"/>
        <v>0</v>
      </c>
      <c r="AD183" s="51">
        <f t="shared" si="66"/>
        <v>0</v>
      </c>
      <c r="AE183" s="51">
        <f t="shared" si="67"/>
        <v>0</v>
      </c>
      <c r="AF183" s="51">
        <f t="shared" si="68"/>
        <v>0</v>
      </c>
      <c r="AG183" s="51">
        <f t="shared" si="69"/>
        <v>0</v>
      </c>
      <c r="AH183" s="51">
        <f t="shared" si="70"/>
        <v>0</v>
      </c>
      <c r="AI183" s="35" t="s">
        <v>4</v>
      </c>
      <c r="AJ183" s="51">
        <f t="shared" si="71"/>
        <v>0</v>
      </c>
      <c r="AK183" s="51">
        <f t="shared" si="72"/>
        <v>0</v>
      </c>
      <c r="AL183" s="51">
        <f t="shared" si="73"/>
        <v>0</v>
      </c>
      <c r="AN183" s="51">
        <v>12</v>
      </c>
      <c r="AO183" s="51">
        <f>G183*0.647561644</f>
        <v>0</v>
      </c>
      <c r="AP183" s="51">
        <f>G183*(1-0.647561644)</f>
        <v>0</v>
      </c>
      <c r="AQ183" s="53" t="s">
        <v>149</v>
      </c>
      <c r="AV183" s="51">
        <f t="shared" si="74"/>
        <v>0</v>
      </c>
      <c r="AW183" s="51">
        <f t="shared" si="75"/>
        <v>0</v>
      </c>
      <c r="AX183" s="51">
        <f t="shared" si="76"/>
        <v>0</v>
      </c>
      <c r="AY183" s="53" t="s">
        <v>456</v>
      </c>
      <c r="AZ183" s="53" t="s">
        <v>378</v>
      </c>
      <c r="BA183" s="35" t="s">
        <v>117</v>
      </c>
      <c r="BC183" s="51">
        <f t="shared" si="77"/>
        <v>0</v>
      </c>
      <c r="BD183" s="51">
        <f t="shared" si="78"/>
        <v>0</v>
      </c>
      <c r="BE183" s="51">
        <v>0</v>
      </c>
      <c r="BF183" s="51">
        <f>183</f>
        <v>183</v>
      </c>
      <c r="BH183" s="51">
        <f t="shared" si="79"/>
        <v>0</v>
      </c>
      <c r="BI183" s="51">
        <f t="shared" si="80"/>
        <v>0</v>
      </c>
      <c r="BJ183" s="51">
        <f t="shared" si="81"/>
        <v>0</v>
      </c>
      <c r="BK183" s="53" t="s">
        <v>118</v>
      </c>
      <c r="BL183" s="51">
        <v>725</v>
      </c>
      <c r="BW183" s="51">
        <v>12</v>
      </c>
      <c r="BX183" s="3" t="s">
        <v>485</v>
      </c>
    </row>
    <row r="184" spans="1:76">
      <c r="A184" s="1" t="s">
        <v>486</v>
      </c>
      <c r="B184" s="2" t="s">
        <v>487</v>
      </c>
      <c r="C184" s="75" t="s">
        <v>488</v>
      </c>
      <c r="D184" s="70"/>
      <c r="E184" s="2" t="s">
        <v>114</v>
      </c>
      <c r="F184" s="51">
        <v>2</v>
      </c>
      <c r="G184" s="52">
        <v>0</v>
      </c>
      <c r="H184" s="51">
        <f t="shared" si="62"/>
        <v>0</v>
      </c>
      <c r="J184" s="41"/>
      <c r="Z184" s="51">
        <f t="shared" si="63"/>
        <v>0</v>
      </c>
      <c r="AB184" s="51">
        <f t="shared" si="64"/>
        <v>0</v>
      </c>
      <c r="AC184" s="51">
        <f t="shared" si="65"/>
        <v>0</v>
      </c>
      <c r="AD184" s="51">
        <f t="shared" si="66"/>
        <v>0</v>
      </c>
      <c r="AE184" s="51">
        <f t="shared" si="67"/>
        <v>0</v>
      </c>
      <c r="AF184" s="51">
        <f t="shared" si="68"/>
        <v>0</v>
      </c>
      <c r="AG184" s="51">
        <f t="shared" si="69"/>
        <v>0</v>
      </c>
      <c r="AH184" s="51">
        <f t="shared" si="70"/>
        <v>0</v>
      </c>
      <c r="AI184" s="35" t="s">
        <v>4</v>
      </c>
      <c r="AJ184" s="51">
        <f t="shared" si="71"/>
        <v>0</v>
      </c>
      <c r="AK184" s="51">
        <f t="shared" si="72"/>
        <v>0</v>
      </c>
      <c r="AL184" s="51">
        <f t="shared" si="73"/>
        <v>0</v>
      </c>
      <c r="AN184" s="51">
        <v>12</v>
      </c>
      <c r="AO184" s="51">
        <f>G184*0.633629557</f>
        <v>0</v>
      </c>
      <c r="AP184" s="51">
        <f>G184*(1-0.633629557)</f>
        <v>0</v>
      </c>
      <c r="AQ184" s="53" t="s">
        <v>149</v>
      </c>
      <c r="AV184" s="51">
        <f t="shared" si="74"/>
        <v>0</v>
      </c>
      <c r="AW184" s="51">
        <f t="shared" si="75"/>
        <v>0</v>
      </c>
      <c r="AX184" s="51">
        <f t="shared" si="76"/>
        <v>0</v>
      </c>
      <c r="AY184" s="53" t="s">
        <v>456</v>
      </c>
      <c r="AZ184" s="53" t="s">
        <v>378</v>
      </c>
      <c r="BA184" s="35" t="s">
        <v>117</v>
      </c>
      <c r="BC184" s="51">
        <f t="shared" si="77"/>
        <v>0</v>
      </c>
      <c r="BD184" s="51">
        <f t="shared" si="78"/>
        <v>0</v>
      </c>
      <c r="BE184" s="51">
        <v>0</v>
      </c>
      <c r="BF184" s="51">
        <f>184</f>
        <v>184</v>
      </c>
      <c r="BH184" s="51">
        <f t="shared" si="79"/>
        <v>0</v>
      </c>
      <c r="BI184" s="51">
        <f t="shared" si="80"/>
        <v>0</v>
      </c>
      <c r="BJ184" s="51">
        <f t="shared" si="81"/>
        <v>0</v>
      </c>
      <c r="BK184" s="53" t="s">
        <v>118</v>
      </c>
      <c r="BL184" s="51">
        <v>725</v>
      </c>
      <c r="BW184" s="51">
        <v>12</v>
      </c>
      <c r="BX184" s="3" t="s">
        <v>488</v>
      </c>
    </row>
    <row r="185" spans="1:76">
      <c r="A185" s="1" t="s">
        <v>489</v>
      </c>
      <c r="B185" s="2" t="s">
        <v>490</v>
      </c>
      <c r="C185" s="75" t="s">
        <v>491</v>
      </c>
      <c r="D185" s="70"/>
      <c r="E185" s="2" t="s">
        <v>114</v>
      </c>
      <c r="F185" s="51">
        <v>2</v>
      </c>
      <c r="G185" s="52">
        <v>0</v>
      </c>
      <c r="H185" s="51">
        <f t="shared" si="62"/>
        <v>0</v>
      </c>
      <c r="J185" s="41"/>
      <c r="Z185" s="51">
        <f t="shared" si="63"/>
        <v>0</v>
      </c>
      <c r="AB185" s="51">
        <f t="shared" si="64"/>
        <v>0</v>
      </c>
      <c r="AC185" s="51">
        <f t="shared" si="65"/>
        <v>0</v>
      </c>
      <c r="AD185" s="51">
        <f t="shared" si="66"/>
        <v>0</v>
      </c>
      <c r="AE185" s="51">
        <f t="shared" si="67"/>
        <v>0</v>
      </c>
      <c r="AF185" s="51">
        <f t="shared" si="68"/>
        <v>0</v>
      </c>
      <c r="AG185" s="51">
        <f t="shared" si="69"/>
        <v>0</v>
      </c>
      <c r="AH185" s="51">
        <f t="shared" si="70"/>
        <v>0</v>
      </c>
      <c r="AI185" s="35" t="s">
        <v>4</v>
      </c>
      <c r="AJ185" s="51">
        <f t="shared" si="71"/>
        <v>0</v>
      </c>
      <c r="AK185" s="51">
        <f t="shared" si="72"/>
        <v>0</v>
      </c>
      <c r="AL185" s="51">
        <f t="shared" si="73"/>
        <v>0</v>
      </c>
      <c r="AN185" s="51">
        <v>12</v>
      </c>
      <c r="AO185" s="51">
        <f>G185*0.493416229</f>
        <v>0</v>
      </c>
      <c r="AP185" s="51">
        <f>G185*(1-0.493416229)</f>
        <v>0</v>
      </c>
      <c r="AQ185" s="53" t="s">
        <v>149</v>
      </c>
      <c r="AV185" s="51">
        <f t="shared" si="74"/>
        <v>0</v>
      </c>
      <c r="AW185" s="51">
        <f t="shared" si="75"/>
        <v>0</v>
      </c>
      <c r="AX185" s="51">
        <f t="shared" si="76"/>
        <v>0</v>
      </c>
      <c r="AY185" s="53" t="s">
        <v>456</v>
      </c>
      <c r="AZ185" s="53" t="s">
        <v>378</v>
      </c>
      <c r="BA185" s="35" t="s">
        <v>117</v>
      </c>
      <c r="BC185" s="51">
        <f t="shared" si="77"/>
        <v>0</v>
      </c>
      <c r="BD185" s="51">
        <f t="shared" si="78"/>
        <v>0</v>
      </c>
      <c r="BE185" s="51">
        <v>0</v>
      </c>
      <c r="BF185" s="51">
        <f>185</f>
        <v>185</v>
      </c>
      <c r="BH185" s="51">
        <f t="shared" si="79"/>
        <v>0</v>
      </c>
      <c r="BI185" s="51">
        <f t="shared" si="80"/>
        <v>0</v>
      </c>
      <c r="BJ185" s="51">
        <f t="shared" si="81"/>
        <v>0</v>
      </c>
      <c r="BK185" s="53" t="s">
        <v>118</v>
      </c>
      <c r="BL185" s="51">
        <v>725</v>
      </c>
      <c r="BW185" s="51">
        <v>12</v>
      </c>
      <c r="BX185" s="3" t="s">
        <v>491</v>
      </c>
    </row>
    <row r="186" spans="1:76">
      <c r="A186" s="1" t="s">
        <v>492</v>
      </c>
      <c r="B186" s="2" t="s">
        <v>493</v>
      </c>
      <c r="C186" s="75" t="s">
        <v>494</v>
      </c>
      <c r="D186" s="70"/>
      <c r="E186" s="2" t="s">
        <v>114</v>
      </c>
      <c r="F186" s="51">
        <v>2</v>
      </c>
      <c r="G186" s="52">
        <v>0</v>
      </c>
      <c r="H186" s="51">
        <f t="shared" si="62"/>
        <v>0</v>
      </c>
      <c r="J186" s="41"/>
      <c r="Z186" s="51">
        <f t="shared" si="63"/>
        <v>0</v>
      </c>
      <c r="AB186" s="51">
        <f t="shared" si="64"/>
        <v>0</v>
      </c>
      <c r="AC186" s="51">
        <f t="shared" si="65"/>
        <v>0</v>
      </c>
      <c r="AD186" s="51">
        <f t="shared" si="66"/>
        <v>0</v>
      </c>
      <c r="AE186" s="51">
        <f t="shared" si="67"/>
        <v>0</v>
      </c>
      <c r="AF186" s="51">
        <f t="shared" si="68"/>
        <v>0</v>
      </c>
      <c r="AG186" s="51">
        <f t="shared" si="69"/>
        <v>0</v>
      </c>
      <c r="AH186" s="51">
        <f t="shared" si="70"/>
        <v>0</v>
      </c>
      <c r="AI186" s="35" t="s">
        <v>4</v>
      </c>
      <c r="AJ186" s="51">
        <f t="shared" si="71"/>
        <v>0</v>
      </c>
      <c r="AK186" s="51">
        <f t="shared" si="72"/>
        <v>0</v>
      </c>
      <c r="AL186" s="51">
        <f t="shared" si="73"/>
        <v>0</v>
      </c>
      <c r="AN186" s="51">
        <v>12</v>
      </c>
      <c r="AO186" s="51">
        <f>G186*0.029006211</f>
        <v>0</v>
      </c>
      <c r="AP186" s="51">
        <f>G186*(1-0.029006211)</f>
        <v>0</v>
      </c>
      <c r="AQ186" s="53" t="s">
        <v>149</v>
      </c>
      <c r="AV186" s="51">
        <f t="shared" si="74"/>
        <v>0</v>
      </c>
      <c r="AW186" s="51">
        <f t="shared" si="75"/>
        <v>0</v>
      </c>
      <c r="AX186" s="51">
        <f t="shared" si="76"/>
        <v>0</v>
      </c>
      <c r="AY186" s="53" t="s">
        <v>456</v>
      </c>
      <c r="AZ186" s="53" t="s">
        <v>378</v>
      </c>
      <c r="BA186" s="35" t="s">
        <v>117</v>
      </c>
      <c r="BC186" s="51">
        <f t="shared" si="77"/>
        <v>0</v>
      </c>
      <c r="BD186" s="51">
        <f t="shared" si="78"/>
        <v>0</v>
      </c>
      <c r="BE186" s="51">
        <v>0</v>
      </c>
      <c r="BF186" s="51">
        <f>186</f>
        <v>186</v>
      </c>
      <c r="BH186" s="51">
        <f t="shared" si="79"/>
        <v>0</v>
      </c>
      <c r="BI186" s="51">
        <f t="shared" si="80"/>
        <v>0</v>
      </c>
      <c r="BJ186" s="51">
        <f t="shared" si="81"/>
        <v>0</v>
      </c>
      <c r="BK186" s="53" t="s">
        <v>118</v>
      </c>
      <c r="BL186" s="51">
        <v>725</v>
      </c>
      <c r="BW186" s="51">
        <v>12</v>
      </c>
      <c r="BX186" s="3" t="s">
        <v>494</v>
      </c>
    </row>
    <row r="187" spans="1:76">
      <c r="A187" s="1" t="s">
        <v>495</v>
      </c>
      <c r="B187" s="2" t="s">
        <v>496</v>
      </c>
      <c r="C187" s="75" t="s">
        <v>497</v>
      </c>
      <c r="D187" s="70"/>
      <c r="E187" s="2" t="s">
        <v>114</v>
      </c>
      <c r="F187" s="51">
        <v>1</v>
      </c>
      <c r="G187" s="52">
        <v>0</v>
      </c>
      <c r="H187" s="51">
        <f t="shared" si="62"/>
        <v>0</v>
      </c>
      <c r="J187" s="41"/>
      <c r="Z187" s="51">
        <f t="shared" si="63"/>
        <v>0</v>
      </c>
      <c r="AB187" s="51">
        <f t="shared" si="64"/>
        <v>0</v>
      </c>
      <c r="AC187" s="51">
        <f t="shared" si="65"/>
        <v>0</v>
      </c>
      <c r="AD187" s="51">
        <f t="shared" si="66"/>
        <v>0</v>
      </c>
      <c r="AE187" s="51">
        <f t="shared" si="67"/>
        <v>0</v>
      </c>
      <c r="AF187" s="51">
        <f t="shared" si="68"/>
        <v>0</v>
      </c>
      <c r="AG187" s="51">
        <f t="shared" si="69"/>
        <v>0</v>
      </c>
      <c r="AH187" s="51">
        <f t="shared" si="70"/>
        <v>0</v>
      </c>
      <c r="AI187" s="35" t="s">
        <v>4</v>
      </c>
      <c r="AJ187" s="51">
        <f t="shared" si="71"/>
        <v>0</v>
      </c>
      <c r="AK187" s="51">
        <f t="shared" si="72"/>
        <v>0</v>
      </c>
      <c r="AL187" s="51">
        <f t="shared" si="73"/>
        <v>0</v>
      </c>
      <c r="AN187" s="51">
        <v>12</v>
      </c>
      <c r="AO187" s="51">
        <f>G187*0.198566176</f>
        <v>0</v>
      </c>
      <c r="AP187" s="51">
        <f>G187*(1-0.198566176)</f>
        <v>0</v>
      </c>
      <c r="AQ187" s="53" t="s">
        <v>149</v>
      </c>
      <c r="AV187" s="51">
        <f t="shared" si="74"/>
        <v>0</v>
      </c>
      <c r="AW187" s="51">
        <f t="shared" si="75"/>
        <v>0</v>
      </c>
      <c r="AX187" s="51">
        <f t="shared" si="76"/>
        <v>0</v>
      </c>
      <c r="AY187" s="53" t="s">
        <v>456</v>
      </c>
      <c r="AZ187" s="53" t="s">
        <v>378</v>
      </c>
      <c r="BA187" s="35" t="s">
        <v>117</v>
      </c>
      <c r="BC187" s="51">
        <f t="shared" si="77"/>
        <v>0</v>
      </c>
      <c r="BD187" s="51">
        <f t="shared" si="78"/>
        <v>0</v>
      </c>
      <c r="BE187" s="51">
        <v>0</v>
      </c>
      <c r="BF187" s="51">
        <f>187</f>
        <v>187</v>
      </c>
      <c r="BH187" s="51">
        <f t="shared" si="79"/>
        <v>0</v>
      </c>
      <c r="BI187" s="51">
        <f t="shared" si="80"/>
        <v>0</v>
      </c>
      <c r="BJ187" s="51">
        <f t="shared" si="81"/>
        <v>0</v>
      </c>
      <c r="BK187" s="53" t="s">
        <v>118</v>
      </c>
      <c r="BL187" s="51">
        <v>725</v>
      </c>
      <c r="BW187" s="51">
        <v>12</v>
      </c>
      <c r="BX187" s="3" t="s">
        <v>497</v>
      </c>
    </row>
    <row r="188" spans="1:76">
      <c r="A188" s="1" t="s">
        <v>498</v>
      </c>
      <c r="B188" s="2" t="s">
        <v>499</v>
      </c>
      <c r="C188" s="75" t="s">
        <v>500</v>
      </c>
      <c r="D188" s="70"/>
      <c r="E188" s="2" t="s">
        <v>114</v>
      </c>
      <c r="F188" s="51">
        <v>1</v>
      </c>
      <c r="G188" s="52">
        <v>0</v>
      </c>
      <c r="H188" s="51">
        <f t="shared" si="62"/>
        <v>0</v>
      </c>
      <c r="J188" s="41"/>
      <c r="Z188" s="51">
        <f t="shared" si="63"/>
        <v>0</v>
      </c>
      <c r="AB188" s="51">
        <f t="shared" si="64"/>
        <v>0</v>
      </c>
      <c r="AC188" s="51">
        <f t="shared" si="65"/>
        <v>0</v>
      </c>
      <c r="AD188" s="51">
        <f t="shared" si="66"/>
        <v>0</v>
      </c>
      <c r="AE188" s="51">
        <f t="shared" si="67"/>
        <v>0</v>
      </c>
      <c r="AF188" s="51">
        <f t="shared" si="68"/>
        <v>0</v>
      </c>
      <c r="AG188" s="51">
        <f t="shared" si="69"/>
        <v>0</v>
      </c>
      <c r="AH188" s="51">
        <f t="shared" si="70"/>
        <v>0</v>
      </c>
      <c r="AI188" s="35" t="s">
        <v>4</v>
      </c>
      <c r="AJ188" s="51">
        <f t="shared" si="71"/>
        <v>0</v>
      </c>
      <c r="AK188" s="51">
        <f t="shared" si="72"/>
        <v>0</v>
      </c>
      <c r="AL188" s="51">
        <f t="shared" si="73"/>
        <v>0</v>
      </c>
      <c r="AN188" s="51">
        <v>12</v>
      </c>
      <c r="AO188" s="51">
        <f>G188*0.900666479</f>
        <v>0</v>
      </c>
      <c r="AP188" s="51">
        <f>G188*(1-0.900666479)</f>
        <v>0</v>
      </c>
      <c r="AQ188" s="53" t="s">
        <v>149</v>
      </c>
      <c r="AV188" s="51">
        <f t="shared" si="74"/>
        <v>0</v>
      </c>
      <c r="AW188" s="51">
        <f t="shared" si="75"/>
        <v>0</v>
      </c>
      <c r="AX188" s="51">
        <f t="shared" si="76"/>
        <v>0</v>
      </c>
      <c r="AY188" s="53" t="s">
        <v>456</v>
      </c>
      <c r="AZ188" s="53" t="s">
        <v>378</v>
      </c>
      <c r="BA188" s="35" t="s">
        <v>117</v>
      </c>
      <c r="BC188" s="51">
        <f t="shared" si="77"/>
        <v>0</v>
      </c>
      <c r="BD188" s="51">
        <f t="shared" si="78"/>
        <v>0</v>
      </c>
      <c r="BE188" s="51">
        <v>0</v>
      </c>
      <c r="BF188" s="51">
        <f>188</f>
        <v>188</v>
      </c>
      <c r="BH188" s="51">
        <f t="shared" si="79"/>
        <v>0</v>
      </c>
      <c r="BI188" s="51">
        <f t="shared" si="80"/>
        <v>0</v>
      </c>
      <c r="BJ188" s="51">
        <f t="shared" si="81"/>
        <v>0</v>
      </c>
      <c r="BK188" s="53" t="s">
        <v>118</v>
      </c>
      <c r="BL188" s="51">
        <v>725</v>
      </c>
      <c r="BW188" s="51">
        <v>12</v>
      </c>
      <c r="BX188" s="3" t="s">
        <v>500</v>
      </c>
    </row>
    <row r="189" spans="1:76">
      <c r="A189" s="1" t="s">
        <v>501</v>
      </c>
      <c r="B189" s="2" t="s">
        <v>502</v>
      </c>
      <c r="C189" s="75" t="s">
        <v>503</v>
      </c>
      <c r="D189" s="70"/>
      <c r="E189" s="2" t="s">
        <v>114</v>
      </c>
      <c r="F189" s="51">
        <v>1</v>
      </c>
      <c r="G189" s="52">
        <v>0</v>
      </c>
      <c r="H189" s="51">
        <f t="shared" si="62"/>
        <v>0</v>
      </c>
      <c r="J189" s="41"/>
      <c r="Z189" s="51">
        <f t="shared" si="63"/>
        <v>0</v>
      </c>
      <c r="AB189" s="51">
        <f t="shared" si="64"/>
        <v>0</v>
      </c>
      <c r="AC189" s="51">
        <f t="shared" si="65"/>
        <v>0</v>
      </c>
      <c r="AD189" s="51">
        <f t="shared" si="66"/>
        <v>0</v>
      </c>
      <c r="AE189" s="51">
        <f t="shared" si="67"/>
        <v>0</v>
      </c>
      <c r="AF189" s="51">
        <f t="shared" si="68"/>
        <v>0</v>
      </c>
      <c r="AG189" s="51">
        <f t="shared" si="69"/>
        <v>0</v>
      </c>
      <c r="AH189" s="51">
        <f t="shared" si="70"/>
        <v>0</v>
      </c>
      <c r="AI189" s="35" t="s">
        <v>4</v>
      </c>
      <c r="AJ189" s="51">
        <f t="shared" si="71"/>
        <v>0</v>
      </c>
      <c r="AK189" s="51">
        <f t="shared" si="72"/>
        <v>0</v>
      </c>
      <c r="AL189" s="51">
        <f t="shared" si="73"/>
        <v>0</v>
      </c>
      <c r="AN189" s="51">
        <v>12</v>
      </c>
      <c r="AO189" s="51">
        <f>G189*0.802805968</f>
        <v>0</v>
      </c>
      <c r="AP189" s="51">
        <f>G189*(1-0.802805968)</f>
        <v>0</v>
      </c>
      <c r="AQ189" s="53" t="s">
        <v>149</v>
      </c>
      <c r="AV189" s="51">
        <f t="shared" si="74"/>
        <v>0</v>
      </c>
      <c r="AW189" s="51">
        <f t="shared" si="75"/>
        <v>0</v>
      </c>
      <c r="AX189" s="51">
        <f t="shared" si="76"/>
        <v>0</v>
      </c>
      <c r="AY189" s="53" t="s">
        <v>456</v>
      </c>
      <c r="AZ189" s="53" t="s">
        <v>378</v>
      </c>
      <c r="BA189" s="35" t="s">
        <v>117</v>
      </c>
      <c r="BC189" s="51">
        <f t="shared" si="77"/>
        <v>0</v>
      </c>
      <c r="BD189" s="51">
        <f t="shared" si="78"/>
        <v>0</v>
      </c>
      <c r="BE189" s="51">
        <v>0</v>
      </c>
      <c r="BF189" s="51">
        <f>189</f>
        <v>189</v>
      </c>
      <c r="BH189" s="51">
        <f t="shared" si="79"/>
        <v>0</v>
      </c>
      <c r="BI189" s="51">
        <f t="shared" si="80"/>
        <v>0</v>
      </c>
      <c r="BJ189" s="51">
        <f t="shared" si="81"/>
        <v>0</v>
      </c>
      <c r="BK189" s="53" t="s">
        <v>118</v>
      </c>
      <c r="BL189" s="51">
        <v>725</v>
      </c>
      <c r="BW189" s="51">
        <v>12</v>
      </c>
      <c r="BX189" s="3" t="s">
        <v>503</v>
      </c>
    </row>
    <row r="190" spans="1:76">
      <c r="A190" s="1" t="s">
        <v>504</v>
      </c>
      <c r="B190" s="2" t="s">
        <v>505</v>
      </c>
      <c r="C190" s="75" t="s">
        <v>506</v>
      </c>
      <c r="D190" s="70"/>
      <c r="E190" s="2" t="s">
        <v>247</v>
      </c>
      <c r="F190" s="51">
        <v>4</v>
      </c>
      <c r="G190" s="52">
        <v>0</v>
      </c>
      <c r="H190" s="51">
        <f t="shared" si="62"/>
        <v>0</v>
      </c>
      <c r="J190" s="41"/>
      <c r="Z190" s="51">
        <f t="shared" si="63"/>
        <v>0</v>
      </c>
      <c r="AB190" s="51">
        <f t="shared" si="64"/>
        <v>0</v>
      </c>
      <c r="AC190" s="51">
        <f t="shared" si="65"/>
        <v>0</v>
      </c>
      <c r="AD190" s="51">
        <f t="shared" si="66"/>
        <v>0</v>
      </c>
      <c r="AE190" s="51">
        <f t="shared" si="67"/>
        <v>0</v>
      </c>
      <c r="AF190" s="51">
        <f t="shared" si="68"/>
        <v>0</v>
      </c>
      <c r="AG190" s="51">
        <f t="shared" si="69"/>
        <v>0</v>
      </c>
      <c r="AH190" s="51">
        <f t="shared" si="70"/>
        <v>0</v>
      </c>
      <c r="AI190" s="35" t="s">
        <v>4</v>
      </c>
      <c r="AJ190" s="51">
        <f t="shared" si="71"/>
        <v>0</v>
      </c>
      <c r="AK190" s="51">
        <f t="shared" si="72"/>
        <v>0</v>
      </c>
      <c r="AL190" s="51">
        <f t="shared" si="73"/>
        <v>0</v>
      </c>
      <c r="AN190" s="51">
        <v>12</v>
      </c>
      <c r="AO190" s="51">
        <f>G190*0.474794069</f>
        <v>0</v>
      </c>
      <c r="AP190" s="51">
        <f>G190*(1-0.474794069)</f>
        <v>0</v>
      </c>
      <c r="AQ190" s="53" t="s">
        <v>149</v>
      </c>
      <c r="AV190" s="51">
        <f t="shared" si="74"/>
        <v>0</v>
      </c>
      <c r="AW190" s="51">
        <f t="shared" si="75"/>
        <v>0</v>
      </c>
      <c r="AX190" s="51">
        <f t="shared" si="76"/>
        <v>0</v>
      </c>
      <c r="AY190" s="53" t="s">
        <v>456</v>
      </c>
      <c r="AZ190" s="53" t="s">
        <v>378</v>
      </c>
      <c r="BA190" s="35" t="s">
        <v>117</v>
      </c>
      <c r="BC190" s="51">
        <f t="shared" si="77"/>
        <v>0</v>
      </c>
      <c r="BD190" s="51">
        <f t="shared" si="78"/>
        <v>0</v>
      </c>
      <c r="BE190" s="51">
        <v>0</v>
      </c>
      <c r="BF190" s="51">
        <f>190</f>
        <v>190</v>
      </c>
      <c r="BH190" s="51">
        <f t="shared" si="79"/>
        <v>0</v>
      </c>
      <c r="BI190" s="51">
        <f t="shared" si="80"/>
        <v>0</v>
      </c>
      <c r="BJ190" s="51">
        <f t="shared" si="81"/>
        <v>0</v>
      </c>
      <c r="BK190" s="53" t="s">
        <v>118</v>
      </c>
      <c r="BL190" s="51">
        <v>725</v>
      </c>
      <c r="BW190" s="51">
        <v>12</v>
      </c>
      <c r="BX190" s="3" t="s">
        <v>506</v>
      </c>
    </row>
    <row r="191" spans="1:76">
      <c r="A191" s="1" t="s">
        <v>507</v>
      </c>
      <c r="B191" s="2" t="s">
        <v>508</v>
      </c>
      <c r="C191" s="75" t="s">
        <v>509</v>
      </c>
      <c r="D191" s="70"/>
      <c r="E191" s="2" t="s">
        <v>247</v>
      </c>
      <c r="F191" s="51">
        <v>1</v>
      </c>
      <c r="G191" s="52">
        <v>0</v>
      </c>
      <c r="H191" s="51">
        <f t="shared" si="62"/>
        <v>0</v>
      </c>
      <c r="J191" s="41"/>
      <c r="Z191" s="51">
        <f t="shared" si="63"/>
        <v>0</v>
      </c>
      <c r="AB191" s="51">
        <f t="shared" si="64"/>
        <v>0</v>
      </c>
      <c r="AC191" s="51">
        <f t="shared" si="65"/>
        <v>0</v>
      </c>
      <c r="AD191" s="51">
        <f t="shared" si="66"/>
        <v>0</v>
      </c>
      <c r="AE191" s="51">
        <f t="shared" si="67"/>
        <v>0</v>
      </c>
      <c r="AF191" s="51">
        <f t="shared" si="68"/>
        <v>0</v>
      </c>
      <c r="AG191" s="51">
        <f t="shared" si="69"/>
        <v>0</v>
      </c>
      <c r="AH191" s="51">
        <f t="shared" si="70"/>
        <v>0</v>
      </c>
      <c r="AI191" s="35" t="s">
        <v>4</v>
      </c>
      <c r="AJ191" s="51">
        <f t="shared" si="71"/>
        <v>0</v>
      </c>
      <c r="AK191" s="51">
        <f t="shared" si="72"/>
        <v>0</v>
      </c>
      <c r="AL191" s="51">
        <f t="shared" si="73"/>
        <v>0</v>
      </c>
      <c r="AN191" s="51">
        <v>12</v>
      </c>
      <c r="AO191" s="51">
        <f>G191*0.2795</f>
        <v>0</v>
      </c>
      <c r="AP191" s="51">
        <f>G191*(1-0.2795)</f>
        <v>0</v>
      </c>
      <c r="AQ191" s="53" t="s">
        <v>149</v>
      </c>
      <c r="AV191" s="51">
        <f t="shared" si="74"/>
        <v>0</v>
      </c>
      <c r="AW191" s="51">
        <f t="shared" si="75"/>
        <v>0</v>
      </c>
      <c r="AX191" s="51">
        <f t="shared" si="76"/>
        <v>0</v>
      </c>
      <c r="AY191" s="53" t="s">
        <v>456</v>
      </c>
      <c r="AZ191" s="53" t="s">
        <v>378</v>
      </c>
      <c r="BA191" s="35" t="s">
        <v>117</v>
      </c>
      <c r="BC191" s="51">
        <f t="shared" si="77"/>
        <v>0</v>
      </c>
      <c r="BD191" s="51">
        <f t="shared" si="78"/>
        <v>0</v>
      </c>
      <c r="BE191" s="51">
        <v>0</v>
      </c>
      <c r="BF191" s="51">
        <f>191</f>
        <v>191</v>
      </c>
      <c r="BH191" s="51">
        <f t="shared" si="79"/>
        <v>0</v>
      </c>
      <c r="BI191" s="51">
        <f t="shared" si="80"/>
        <v>0</v>
      </c>
      <c r="BJ191" s="51">
        <f t="shared" si="81"/>
        <v>0</v>
      </c>
      <c r="BK191" s="53" t="s">
        <v>118</v>
      </c>
      <c r="BL191" s="51">
        <v>725</v>
      </c>
      <c r="BW191" s="51">
        <v>12</v>
      </c>
      <c r="BX191" s="3" t="s">
        <v>509</v>
      </c>
    </row>
    <row r="192" spans="1:76">
      <c r="A192" s="1" t="s">
        <v>510</v>
      </c>
      <c r="B192" s="2" t="s">
        <v>511</v>
      </c>
      <c r="C192" s="75" t="s">
        <v>512</v>
      </c>
      <c r="D192" s="70"/>
      <c r="E192" s="2" t="s">
        <v>114</v>
      </c>
      <c r="F192" s="51">
        <v>1</v>
      </c>
      <c r="G192" s="52">
        <v>0</v>
      </c>
      <c r="H192" s="51">
        <f t="shared" si="62"/>
        <v>0</v>
      </c>
      <c r="J192" s="41"/>
      <c r="Z192" s="51">
        <f t="shared" si="63"/>
        <v>0</v>
      </c>
      <c r="AB192" s="51">
        <f t="shared" si="64"/>
        <v>0</v>
      </c>
      <c r="AC192" s="51">
        <f t="shared" si="65"/>
        <v>0</v>
      </c>
      <c r="AD192" s="51">
        <f t="shared" si="66"/>
        <v>0</v>
      </c>
      <c r="AE192" s="51">
        <f t="shared" si="67"/>
        <v>0</v>
      </c>
      <c r="AF192" s="51">
        <f t="shared" si="68"/>
        <v>0</v>
      </c>
      <c r="AG192" s="51">
        <f t="shared" si="69"/>
        <v>0</v>
      </c>
      <c r="AH192" s="51">
        <f t="shared" si="70"/>
        <v>0</v>
      </c>
      <c r="AI192" s="35" t="s">
        <v>4</v>
      </c>
      <c r="AJ192" s="51">
        <f t="shared" si="71"/>
        <v>0</v>
      </c>
      <c r="AK192" s="51">
        <f t="shared" si="72"/>
        <v>0</v>
      </c>
      <c r="AL192" s="51">
        <f t="shared" si="73"/>
        <v>0</v>
      </c>
      <c r="AN192" s="51">
        <v>12</v>
      </c>
      <c r="AO192" s="51">
        <f>G192*0.883732578</f>
        <v>0</v>
      </c>
      <c r="AP192" s="51">
        <f>G192*(1-0.883732578)</f>
        <v>0</v>
      </c>
      <c r="AQ192" s="53" t="s">
        <v>149</v>
      </c>
      <c r="AV192" s="51">
        <f t="shared" si="74"/>
        <v>0</v>
      </c>
      <c r="AW192" s="51">
        <f t="shared" si="75"/>
        <v>0</v>
      </c>
      <c r="AX192" s="51">
        <f t="shared" si="76"/>
        <v>0</v>
      </c>
      <c r="AY192" s="53" t="s">
        <v>456</v>
      </c>
      <c r="AZ192" s="53" t="s">
        <v>378</v>
      </c>
      <c r="BA192" s="35" t="s">
        <v>117</v>
      </c>
      <c r="BC192" s="51">
        <f t="shared" si="77"/>
        <v>0</v>
      </c>
      <c r="BD192" s="51">
        <f t="shared" si="78"/>
        <v>0</v>
      </c>
      <c r="BE192" s="51">
        <v>0</v>
      </c>
      <c r="BF192" s="51">
        <f>192</f>
        <v>192</v>
      </c>
      <c r="BH192" s="51">
        <f t="shared" si="79"/>
        <v>0</v>
      </c>
      <c r="BI192" s="51">
        <f t="shared" si="80"/>
        <v>0</v>
      </c>
      <c r="BJ192" s="51">
        <f t="shared" si="81"/>
        <v>0</v>
      </c>
      <c r="BK192" s="53" t="s">
        <v>118</v>
      </c>
      <c r="BL192" s="51">
        <v>725</v>
      </c>
      <c r="BW192" s="51">
        <v>12</v>
      </c>
      <c r="BX192" s="3" t="s">
        <v>512</v>
      </c>
    </row>
    <row r="193" spans="1:76">
      <c r="A193" s="1" t="s">
        <v>513</v>
      </c>
      <c r="B193" s="2" t="s">
        <v>514</v>
      </c>
      <c r="C193" s="75" t="s">
        <v>515</v>
      </c>
      <c r="D193" s="70"/>
      <c r="E193" s="2" t="s">
        <v>114</v>
      </c>
      <c r="F193" s="51">
        <v>1</v>
      </c>
      <c r="G193" s="52">
        <v>0</v>
      </c>
      <c r="H193" s="51">
        <f t="shared" si="62"/>
        <v>0</v>
      </c>
      <c r="J193" s="41"/>
      <c r="Z193" s="51">
        <f t="shared" si="63"/>
        <v>0</v>
      </c>
      <c r="AB193" s="51">
        <f t="shared" si="64"/>
        <v>0</v>
      </c>
      <c r="AC193" s="51">
        <f t="shared" si="65"/>
        <v>0</v>
      </c>
      <c r="AD193" s="51">
        <f t="shared" si="66"/>
        <v>0</v>
      </c>
      <c r="AE193" s="51">
        <f t="shared" si="67"/>
        <v>0</v>
      </c>
      <c r="AF193" s="51">
        <f t="shared" si="68"/>
        <v>0</v>
      </c>
      <c r="AG193" s="51">
        <f t="shared" si="69"/>
        <v>0</v>
      </c>
      <c r="AH193" s="51">
        <f t="shared" si="70"/>
        <v>0</v>
      </c>
      <c r="AI193" s="35" t="s">
        <v>4</v>
      </c>
      <c r="AJ193" s="51">
        <f t="shared" si="71"/>
        <v>0</v>
      </c>
      <c r="AK193" s="51">
        <f t="shared" si="72"/>
        <v>0</v>
      </c>
      <c r="AL193" s="51">
        <f t="shared" si="73"/>
        <v>0</v>
      </c>
      <c r="AN193" s="51">
        <v>12</v>
      </c>
      <c r="AO193" s="51">
        <f>G193*0.864425163</f>
        <v>0</v>
      </c>
      <c r="AP193" s="51">
        <f>G193*(1-0.864425163)</f>
        <v>0</v>
      </c>
      <c r="AQ193" s="53" t="s">
        <v>149</v>
      </c>
      <c r="AV193" s="51">
        <f t="shared" si="74"/>
        <v>0</v>
      </c>
      <c r="AW193" s="51">
        <f t="shared" si="75"/>
        <v>0</v>
      </c>
      <c r="AX193" s="51">
        <f t="shared" si="76"/>
        <v>0</v>
      </c>
      <c r="AY193" s="53" t="s">
        <v>456</v>
      </c>
      <c r="AZ193" s="53" t="s">
        <v>378</v>
      </c>
      <c r="BA193" s="35" t="s">
        <v>117</v>
      </c>
      <c r="BC193" s="51">
        <f t="shared" si="77"/>
        <v>0</v>
      </c>
      <c r="BD193" s="51">
        <f t="shared" si="78"/>
        <v>0</v>
      </c>
      <c r="BE193" s="51">
        <v>0</v>
      </c>
      <c r="BF193" s="51">
        <f>193</f>
        <v>193</v>
      </c>
      <c r="BH193" s="51">
        <f t="shared" si="79"/>
        <v>0</v>
      </c>
      <c r="BI193" s="51">
        <f t="shared" si="80"/>
        <v>0</v>
      </c>
      <c r="BJ193" s="51">
        <f t="shared" si="81"/>
        <v>0</v>
      </c>
      <c r="BK193" s="53" t="s">
        <v>118</v>
      </c>
      <c r="BL193" s="51">
        <v>725</v>
      </c>
      <c r="BW193" s="51">
        <v>12</v>
      </c>
      <c r="BX193" s="3" t="s">
        <v>515</v>
      </c>
    </row>
    <row r="194" spans="1:76">
      <c r="A194" s="1" t="s">
        <v>235</v>
      </c>
      <c r="B194" s="2" t="s">
        <v>516</v>
      </c>
      <c r="C194" s="75" t="s">
        <v>517</v>
      </c>
      <c r="D194" s="70"/>
      <c r="E194" s="2" t="s">
        <v>114</v>
      </c>
      <c r="F194" s="51">
        <v>1</v>
      </c>
      <c r="G194" s="52">
        <v>0</v>
      </c>
      <c r="H194" s="51">
        <f t="shared" si="62"/>
        <v>0</v>
      </c>
      <c r="J194" s="41"/>
      <c r="Z194" s="51">
        <f t="shared" si="63"/>
        <v>0</v>
      </c>
      <c r="AB194" s="51">
        <f t="shared" si="64"/>
        <v>0</v>
      </c>
      <c r="AC194" s="51">
        <f t="shared" si="65"/>
        <v>0</v>
      </c>
      <c r="AD194" s="51">
        <f t="shared" si="66"/>
        <v>0</v>
      </c>
      <c r="AE194" s="51">
        <f t="shared" si="67"/>
        <v>0</v>
      </c>
      <c r="AF194" s="51">
        <f t="shared" si="68"/>
        <v>0</v>
      </c>
      <c r="AG194" s="51">
        <f t="shared" si="69"/>
        <v>0</v>
      </c>
      <c r="AH194" s="51">
        <f t="shared" si="70"/>
        <v>0</v>
      </c>
      <c r="AI194" s="35" t="s">
        <v>4</v>
      </c>
      <c r="AJ194" s="51">
        <f t="shared" si="71"/>
        <v>0</v>
      </c>
      <c r="AK194" s="51">
        <f t="shared" si="72"/>
        <v>0</v>
      </c>
      <c r="AL194" s="51">
        <f t="shared" si="73"/>
        <v>0</v>
      </c>
      <c r="AN194" s="51">
        <v>12</v>
      </c>
      <c r="AO194" s="51">
        <f>G194*0.826075949</f>
        <v>0</v>
      </c>
      <c r="AP194" s="51">
        <f>G194*(1-0.826075949)</f>
        <v>0</v>
      </c>
      <c r="AQ194" s="53" t="s">
        <v>149</v>
      </c>
      <c r="AV194" s="51">
        <f t="shared" si="74"/>
        <v>0</v>
      </c>
      <c r="AW194" s="51">
        <f t="shared" si="75"/>
        <v>0</v>
      </c>
      <c r="AX194" s="51">
        <f t="shared" si="76"/>
        <v>0</v>
      </c>
      <c r="AY194" s="53" t="s">
        <v>456</v>
      </c>
      <c r="AZ194" s="53" t="s">
        <v>378</v>
      </c>
      <c r="BA194" s="35" t="s">
        <v>117</v>
      </c>
      <c r="BC194" s="51">
        <f t="shared" si="77"/>
        <v>0</v>
      </c>
      <c r="BD194" s="51">
        <f t="shared" si="78"/>
        <v>0</v>
      </c>
      <c r="BE194" s="51">
        <v>0</v>
      </c>
      <c r="BF194" s="51">
        <f>194</f>
        <v>194</v>
      </c>
      <c r="BH194" s="51">
        <f t="shared" si="79"/>
        <v>0</v>
      </c>
      <c r="BI194" s="51">
        <f t="shared" si="80"/>
        <v>0</v>
      </c>
      <c r="BJ194" s="51">
        <f t="shared" si="81"/>
        <v>0</v>
      </c>
      <c r="BK194" s="53" t="s">
        <v>118</v>
      </c>
      <c r="BL194" s="51">
        <v>725</v>
      </c>
      <c r="BW194" s="51">
        <v>12</v>
      </c>
      <c r="BX194" s="3" t="s">
        <v>517</v>
      </c>
    </row>
    <row r="195" spans="1:76">
      <c r="A195" s="1" t="s">
        <v>260</v>
      </c>
      <c r="B195" s="2" t="s">
        <v>518</v>
      </c>
      <c r="C195" s="75" t="s">
        <v>519</v>
      </c>
      <c r="D195" s="70"/>
      <c r="E195" s="2" t="s">
        <v>247</v>
      </c>
      <c r="F195" s="51">
        <v>1</v>
      </c>
      <c r="G195" s="52">
        <v>0</v>
      </c>
      <c r="H195" s="51">
        <f t="shared" si="62"/>
        <v>0</v>
      </c>
      <c r="J195" s="41"/>
      <c r="Z195" s="51">
        <f t="shared" si="63"/>
        <v>0</v>
      </c>
      <c r="AB195" s="51">
        <f t="shared" si="64"/>
        <v>0</v>
      </c>
      <c r="AC195" s="51">
        <f t="shared" si="65"/>
        <v>0</v>
      </c>
      <c r="AD195" s="51">
        <f t="shared" si="66"/>
        <v>0</v>
      </c>
      <c r="AE195" s="51">
        <f t="shared" si="67"/>
        <v>0</v>
      </c>
      <c r="AF195" s="51">
        <f t="shared" si="68"/>
        <v>0</v>
      </c>
      <c r="AG195" s="51">
        <f t="shared" si="69"/>
        <v>0</v>
      </c>
      <c r="AH195" s="51">
        <f t="shared" si="70"/>
        <v>0</v>
      </c>
      <c r="AI195" s="35" t="s">
        <v>4</v>
      </c>
      <c r="AJ195" s="51">
        <f t="shared" si="71"/>
        <v>0</v>
      </c>
      <c r="AK195" s="51">
        <f t="shared" si="72"/>
        <v>0</v>
      </c>
      <c r="AL195" s="51">
        <f t="shared" si="73"/>
        <v>0</v>
      </c>
      <c r="AN195" s="51">
        <v>12</v>
      </c>
      <c r="AO195" s="51">
        <f>G195*0.866443766</f>
        <v>0</v>
      </c>
      <c r="AP195" s="51">
        <f>G195*(1-0.866443766)</f>
        <v>0</v>
      </c>
      <c r="AQ195" s="53" t="s">
        <v>149</v>
      </c>
      <c r="AV195" s="51">
        <f t="shared" si="74"/>
        <v>0</v>
      </c>
      <c r="AW195" s="51">
        <f t="shared" si="75"/>
        <v>0</v>
      </c>
      <c r="AX195" s="51">
        <f t="shared" si="76"/>
        <v>0</v>
      </c>
      <c r="AY195" s="53" t="s">
        <v>456</v>
      </c>
      <c r="AZ195" s="53" t="s">
        <v>378</v>
      </c>
      <c r="BA195" s="35" t="s">
        <v>117</v>
      </c>
      <c r="BC195" s="51">
        <f t="shared" si="77"/>
        <v>0</v>
      </c>
      <c r="BD195" s="51">
        <f t="shared" si="78"/>
        <v>0</v>
      </c>
      <c r="BE195" s="51">
        <v>0</v>
      </c>
      <c r="BF195" s="51">
        <f>195</f>
        <v>195</v>
      </c>
      <c r="BH195" s="51">
        <f t="shared" si="79"/>
        <v>0</v>
      </c>
      <c r="BI195" s="51">
        <f t="shared" si="80"/>
        <v>0</v>
      </c>
      <c r="BJ195" s="51">
        <f t="shared" si="81"/>
        <v>0</v>
      </c>
      <c r="BK195" s="53" t="s">
        <v>118</v>
      </c>
      <c r="BL195" s="51">
        <v>725</v>
      </c>
      <c r="BW195" s="51">
        <v>12</v>
      </c>
      <c r="BX195" s="3" t="s">
        <v>519</v>
      </c>
    </row>
    <row r="196" spans="1:76">
      <c r="A196" s="1" t="s">
        <v>520</v>
      </c>
      <c r="B196" s="2" t="s">
        <v>521</v>
      </c>
      <c r="C196" s="75" t="s">
        <v>522</v>
      </c>
      <c r="D196" s="70"/>
      <c r="E196" s="2" t="s">
        <v>247</v>
      </c>
      <c r="F196" s="51">
        <v>1</v>
      </c>
      <c r="G196" s="52">
        <v>0</v>
      </c>
      <c r="H196" s="51">
        <f t="shared" si="62"/>
        <v>0</v>
      </c>
      <c r="J196" s="41"/>
      <c r="Z196" s="51">
        <f t="shared" si="63"/>
        <v>0</v>
      </c>
      <c r="AB196" s="51">
        <f t="shared" si="64"/>
        <v>0</v>
      </c>
      <c r="AC196" s="51">
        <f t="shared" si="65"/>
        <v>0</v>
      </c>
      <c r="AD196" s="51">
        <f t="shared" si="66"/>
        <v>0</v>
      </c>
      <c r="AE196" s="51">
        <f t="shared" si="67"/>
        <v>0</v>
      </c>
      <c r="AF196" s="51">
        <f t="shared" si="68"/>
        <v>0</v>
      </c>
      <c r="AG196" s="51">
        <f t="shared" si="69"/>
        <v>0</v>
      </c>
      <c r="AH196" s="51">
        <f t="shared" si="70"/>
        <v>0</v>
      </c>
      <c r="AI196" s="35" t="s">
        <v>4</v>
      </c>
      <c r="AJ196" s="51">
        <f t="shared" si="71"/>
        <v>0</v>
      </c>
      <c r="AK196" s="51">
        <f t="shared" si="72"/>
        <v>0</v>
      </c>
      <c r="AL196" s="51">
        <f t="shared" si="73"/>
        <v>0</v>
      </c>
      <c r="AN196" s="51">
        <v>12</v>
      </c>
      <c r="AO196" s="51">
        <f>G196*0.419240045</f>
        <v>0</v>
      </c>
      <c r="AP196" s="51">
        <f>G196*(1-0.419240045)</f>
        <v>0</v>
      </c>
      <c r="AQ196" s="53" t="s">
        <v>149</v>
      </c>
      <c r="AV196" s="51">
        <f t="shared" si="74"/>
        <v>0</v>
      </c>
      <c r="AW196" s="51">
        <f t="shared" si="75"/>
        <v>0</v>
      </c>
      <c r="AX196" s="51">
        <f t="shared" si="76"/>
        <v>0</v>
      </c>
      <c r="AY196" s="53" t="s">
        <v>456</v>
      </c>
      <c r="AZ196" s="53" t="s">
        <v>378</v>
      </c>
      <c r="BA196" s="35" t="s">
        <v>117</v>
      </c>
      <c r="BC196" s="51">
        <f t="shared" si="77"/>
        <v>0</v>
      </c>
      <c r="BD196" s="51">
        <f t="shared" si="78"/>
        <v>0</v>
      </c>
      <c r="BE196" s="51">
        <v>0</v>
      </c>
      <c r="BF196" s="51">
        <f>196</f>
        <v>196</v>
      </c>
      <c r="BH196" s="51">
        <f t="shared" si="79"/>
        <v>0</v>
      </c>
      <c r="BI196" s="51">
        <f t="shared" si="80"/>
        <v>0</v>
      </c>
      <c r="BJ196" s="51">
        <f t="shared" si="81"/>
        <v>0</v>
      </c>
      <c r="BK196" s="53" t="s">
        <v>118</v>
      </c>
      <c r="BL196" s="51">
        <v>725</v>
      </c>
      <c r="BW196" s="51">
        <v>12</v>
      </c>
      <c r="BX196" s="3" t="s">
        <v>522</v>
      </c>
    </row>
    <row r="197" spans="1:76">
      <c r="A197" s="1" t="s">
        <v>523</v>
      </c>
      <c r="B197" s="2" t="s">
        <v>524</v>
      </c>
      <c r="C197" s="75" t="s">
        <v>525</v>
      </c>
      <c r="D197" s="70"/>
      <c r="E197" s="2" t="s">
        <v>247</v>
      </c>
      <c r="F197" s="51">
        <v>1</v>
      </c>
      <c r="G197" s="52">
        <v>0</v>
      </c>
      <c r="H197" s="51">
        <f t="shared" si="62"/>
        <v>0</v>
      </c>
      <c r="J197" s="41"/>
      <c r="Z197" s="51">
        <f t="shared" si="63"/>
        <v>0</v>
      </c>
      <c r="AB197" s="51">
        <f t="shared" si="64"/>
        <v>0</v>
      </c>
      <c r="AC197" s="51">
        <f t="shared" si="65"/>
        <v>0</v>
      </c>
      <c r="AD197" s="51">
        <f t="shared" si="66"/>
        <v>0</v>
      </c>
      <c r="AE197" s="51">
        <f t="shared" si="67"/>
        <v>0</v>
      </c>
      <c r="AF197" s="51">
        <f t="shared" si="68"/>
        <v>0</v>
      </c>
      <c r="AG197" s="51">
        <f t="shared" si="69"/>
        <v>0</v>
      </c>
      <c r="AH197" s="51">
        <f t="shared" si="70"/>
        <v>0</v>
      </c>
      <c r="AI197" s="35" t="s">
        <v>4</v>
      </c>
      <c r="AJ197" s="51">
        <f t="shared" si="71"/>
        <v>0</v>
      </c>
      <c r="AK197" s="51">
        <f t="shared" si="72"/>
        <v>0</v>
      </c>
      <c r="AL197" s="51">
        <f t="shared" si="73"/>
        <v>0</v>
      </c>
      <c r="AN197" s="51">
        <v>12</v>
      </c>
      <c r="AO197" s="51">
        <f>G197*0.835952347</f>
        <v>0</v>
      </c>
      <c r="AP197" s="51">
        <f>G197*(1-0.835952347)</f>
        <v>0</v>
      </c>
      <c r="AQ197" s="53" t="s">
        <v>149</v>
      </c>
      <c r="AV197" s="51">
        <f t="shared" si="74"/>
        <v>0</v>
      </c>
      <c r="AW197" s="51">
        <f t="shared" si="75"/>
        <v>0</v>
      </c>
      <c r="AX197" s="51">
        <f t="shared" si="76"/>
        <v>0</v>
      </c>
      <c r="AY197" s="53" t="s">
        <v>456</v>
      </c>
      <c r="AZ197" s="53" t="s">
        <v>378</v>
      </c>
      <c r="BA197" s="35" t="s">
        <v>117</v>
      </c>
      <c r="BC197" s="51">
        <f t="shared" si="77"/>
        <v>0</v>
      </c>
      <c r="BD197" s="51">
        <f t="shared" si="78"/>
        <v>0</v>
      </c>
      <c r="BE197" s="51">
        <v>0</v>
      </c>
      <c r="BF197" s="51">
        <f>197</f>
        <v>197</v>
      </c>
      <c r="BH197" s="51">
        <f t="shared" si="79"/>
        <v>0</v>
      </c>
      <c r="BI197" s="51">
        <f t="shared" si="80"/>
        <v>0</v>
      </c>
      <c r="BJ197" s="51">
        <f t="shared" si="81"/>
        <v>0</v>
      </c>
      <c r="BK197" s="53" t="s">
        <v>118</v>
      </c>
      <c r="BL197" s="51">
        <v>725</v>
      </c>
      <c r="BW197" s="51">
        <v>12</v>
      </c>
      <c r="BX197" s="3" t="s">
        <v>525</v>
      </c>
    </row>
    <row r="198" spans="1:76">
      <c r="A198" s="1" t="s">
        <v>338</v>
      </c>
      <c r="B198" s="2" t="s">
        <v>526</v>
      </c>
      <c r="C198" s="75" t="s">
        <v>527</v>
      </c>
      <c r="D198" s="70"/>
      <c r="E198" s="2" t="s">
        <v>114</v>
      </c>
      <c r="F198" s="51">
        <v>1</v>
      </c>
      <c r="G198" s="52">
        <v>0</v>
      </c>
      <c r="H198" s="51">
        <f t="shared" si="62"/>
        <v>0</v>
      </c>
      <c r="J198" s="41"/>
      <c r="Z198" s="51">
        <f t="shared" si="63"/>
        <v>0</v>
      </c>
      <c r="AB198" s="51">
        <f t="shared" si="64"/>
        <v>0</v>
      </c>
      <c r="AC198" s="51">
        <f t="shared" si="65"/>
        <v>0</v>
      </c>
      <c r="AD198" s="51">
        <f t="shared" si="66"/>
        <v>0</v>
      </c>
      <c r="AE198" s="51">
        <f t="shared" si="67"/>
        <v>0</v>
      </c>
      <c r="AF198" s="51">
        <f t="shared" si="68"/>
        <v>0</v>
      </c>
      <c r="AG198" s="51">
        <f t="shared" si="69"/>
        <v>0</v>
      </c>
      <c r="AH198" s="51">
        <f t="shared" si="70"/>
        <v>0</v>
      </c>
      <c r="AI198" s="35" t="s">
        <v>4</v>
      </c>
      <c r="AJ198" s="51">
        <f t="shared" si="71"/>
        <v>0</v>
      </c>
      <c r="AK198" s="51">
        <f t="shared" si="72"/>
        <v>0</v>
      </c>
      <c r="AL198" s="51">
        <f t="shared" si="73"/>
        <v>0</v>
      </c>
      <c r="AN198" s="51">
        <v>12</v>
      </c>
      <c r="AO198" s="51">
        <f>G198*1</f>
        <v>0</v>
      </c>
      <c r="AP198" s="51">
        <f>G198*(1-1)</f>
        <v>0</v>
      </c>
      <c r="AQ198" s="53" t="s">
        <v>149</v>
      </c>
      <c r="AV198" s="51">
        <f t="shared" si="74"/>
        <v>0</v>
      </c>
      <c r="AW198" s="51">
        <f t="shared" si="75"/>
        <v>0</v>
      </c>
      <c r="AX198" s="51">
        <f t="shared" si="76"/>
        <v>0</v>
      </c>
      <c r="AY198" s="53" t="s">
        <v>456</v>
      </c>
      <c r="AZ198" s="53" t="s">
        <v>378</v>
      </c>
      <c r="BA198" s="35" t="s">
        <v>117</v>
      </c>
      <c r="BC198" s="51">
        <f t="shared" si="77"/>
        <v>0</v>
      </c>
      <c r="BD198" s="51">
        <f t="shared" si="78"/>
        <v>0</v>
      </c>
      <c r="BE198" s="51">
        <v>0</v>
      </c>
      <c r="BF198" s="51">
        <f>198</f>
        <v>198</v>
      </c>
      <c r="BH198" s="51">
        <f t="shared" si="79"/>
        <v>0</v>
      </c>
      <c r="BI198" s="51">
        <f t="shared" si="80"/>
        <v>0</v>
      </c>
      <c r="BJ198" s="51">
        <f t="shared" si="81"/>
        <v>0</v>
      </c>
      <c r="BK198" s="53" t="s">
        <v>528</v>
      </c>
      <c r="BL198" s="51">
        <v>725</v>
      </c>
      <c r="BW198" s="51">
        <v>12</v>
      </c>
      <c r="BX198" s="3" t="s">
        <v>527</v>
      </c>
    </row>
    <row r="199" spans="1:76">
      <c r="A199" s="1" t="s">
        <v>529</v>
      </c>
      <c r="B199" s="2" t="s">
        <v>530</v>
      </c>
      <c r="C199" s="75" t="s">
        <v>531</v>
      </c>
      <c r="D199" s="70"/>
      <c r="E199" s="2" t="s">
        <v>114</v>
      </c>
      <c r="F199" s="51">
        <v>1</v>
      </c>
      <c r="G199" s="52">
        <v>0</v>
      </c>
      <c r="H199" s="51">
        <f t="shared" si="62"/>
        <v>0</v>
      </c>
      <c r="J199" s="41"/>
      <c r="Z199" s="51">
        <f t="shared" si="63"/>
        <v>0</v>
      </c>
      <c r="AB199" s="51">
        <f t="shared" si="64"/>
        <v>0</v>
      </c>
      <c r="AC199" s="51">
        <f t="shared" si="65"/>
        <v>0</v>
      </c>
      <c r="AD199" s="51">
        <f t="shared" si="66"/>
        <v>0</v>
      </c>
      <c r="AE199" s="51">
        <f t="shared" si="67"/>
        <v>0</v>
      </c>
      <c r="AF199" s="51">
        <f t="shared" si="68"/>
        <v>0</v>
      </c>
      <c r="AG199" s="51">
        <f t="shared" si="69"/>
        <v>0</v>
      </c>
      <c r="AH199" s="51">
        <f t="shared" si="70"/>
        <v>0</v>
      </c>
      <c r="AI199" s="35" t="s">
        <v>4</v>
      </c>
      <c r="AJ199" s="51">
        <f t="shared" si="71"/>
        <v>0</v>
      </c>
      <c r="AK199" s="51">
        <f t="shared" si="72"/>
        <v>0</v>
      </c>
      <c r="AL199" s="51">
        <f t="shared" si="73"/>
        <v>0</v>
      </c>
      <c r="AN199" s="51">
        <v>12</v>
      </c>
      <c r="AO199" s="51">
        <f>G199*1</f>
        <v>0</v>
      </c>
      <c r="AP199" s="51">
        <f>G199*(1-1)</f>
        <v>0</v>
      </c>
      <c r="AQ199" s="53" t="s">
        <v>149</v>
      </c>
      <c r="AV199" s="51">
        <f t="shared" si="74"/>
        <v>0</v>
      </c>
      <c r="AW199" s="51">
        <f t="shared" si="75"/>
        <v>0</v>
      </c>
      <c r="AX199" s="51">
        <f t="shared" si="76"/>
        <v>0</v>
      </c>
      <c r="AY199" s="53" t="s">
        <v>456</v>
      </c>
      <c r="AZ199" s="53" t="s">
        <v>378</v>
      </c>
      <c r="BA199" s="35" t="s">
        <v>117</v>
      </c>
      <c r="BC199" s="51">
        <f t="shared" si="77"/>
        <v>0</v>
      </c>
      <c r="BD199" s="51">
        <f t="shared" si="78"/>
        <v>0</v>
      </c>
      <c r="BE199" s="51">
        <v>0</v>
      </c>
      <c r="BF199" s="51">
        <f>199</f>
        <v>199</v>
      </c>
      <c r="BH199" s="51">
        <f t="shared" si="79"/>
        <v>0</v>
      </c>
      <c r="BI199" s="51">
        <f t="shared" si="80"/>
        <v>0</v>
      </c>
      <c r="BJ199" s="51">
        <f t="shared" si="81"/>
        <v>0</v>
      </c>
      <c r="BK199" s="53" t="s">
        <v>528</v>
      </c>
      <c r="BL199" s="51">
        <v>725</v>
      </c>
      <c r="BW199" s="51">
        <v>12</v>
      </c>
      <c r="BX199" s="3" t="s">
        <v>531</v>
      </c>
    </row>
    <row r="200" spans="1:76">
      <c r="A200" s="1" t="s">
        <v>532</v>
      </c>
      <c r="B200" s="2" t="s">
        <v>533</v>
      </c>
      <c r="C200" s="75" t="s">
        <v>534</v>
      </c>
      <c r="D200" s="70"/>
      <c r="E200" s="2" t="s">
        <v>308</v>
      </c>
      <c r="F200" s="51">
        <v>0.16400000000000001</v>
      </c>
      <c r="G200" s="52">
        <v>0</v>
      </c>
      <c r="H200" s="51">
        <f t="shared" si="62"/>
        <v>0</v>
      </c>
      <c r="J200" s="41"/>
      <c r="Z200" s="51">
        <f t="shared" si="63"/>
        <v>0</v>
      </c>
      <c r="AB200" s="51">
        <f t="shared" si="64"/>
        <v>0</v>
      </c>
      <c r="AC200" s="51">
        <f t="shared" si="65"/>
        <v>0</v>
      </c>
      <c r="AD200" s="51">
        <f t="shared" si="66"/>
        <v>0</v>
      </c>
      <c r="AE200" s="51">
        <f t="shared" si="67"/>
        <v>0</v>
      </c>
      <c r="AF200" s="51">
        <f t="shared" si="68"/>
        <v>0</v>
      </c>
      <c r="AG200" s="51">
        <f t="shared" si="69"/>
        <v>0</v>
      </c>
      <c r="AH200" s="51">
        <f t="shared" si="70"/>
        <v>0</v>
      </c>
      <c r="AI200" s="35" t="s">
        <v>4</v>
      </c>
      <c r="AJ200" s="51">
        <f t="shared" si="71"/>
        <v>0</v>
      </c>
      <c r="AK200" s="51">
        <f t="shared" si="72"/>
        <v>0</v>
      </c>
      <c r="AL200" s="51">
        <f t="shared" si="73"/>
        <v>0</v>
      </c>
      <c r="AN200" s="51">
        <v>12</v>
      </c>
      <c r="AO200" s="51">
        <f>G200*0</f>
        <v>0</v>
      </c>
      <c r="AP200" s="51">
        <f>G200*(1-0)</f>
        <v>0</v>
      </c>
      <c r="AQ200" s="53" t="s">
        <v>138</v>
      </c>
      <c r="AV200" s="51">
        <f t="shared" si="74"/>
        <v>0</v>
      </c>
      <c r="AW200" s="51">
        <f t="shared" si="75"/>
        <v>0</v>
      </c>
      <c r="AX200" s="51">
        <f t="shared" si="76"/>
        <v>0</v>
      </c>
      <c r="AY200" s="53" t="s">
        <v>456</v>
      </c>
      <c r="AZ200" s="53" t="s">
        <v>378</v>
      </c>
      <c r="BA200" s="35" t="s">
        <v>117</v>
      </c>
      <c r="BC200" s="51">
        <f t="shared" si="77"/>
        <v>0</v>
      </c>
      <c r="BD200" s="51">
        <f t="shared" si="78"/>
        <v>0</v>
      </c>
      <c r="BE200" s="51">
        <v>0</v>
      </c>
      <c r="BF200" s="51">
        <f>200</f>
        <v>200</v>
      </c>
      <c r="BH200" s="51">
        <f t="shared" si="79"/>
        <v>0</v>
      </c>
      <c r="BI200" s="51">
        <f t="shared" si="80"/>
        <v>0</v>
      </c>
      <c r="BJ200" s="51">
        <f t="shared" si="81"/>
        <v>0</v>
      </c>
      <c r="BK200" s="53" t="s">
        <v>118</v>
      </c>
      <c r="BL200" s="51">
        <v>725</v>
      </c>
      <c r="BW200" s="51">
        <v>12</v>
      </c>
      <c r="BX200" s="3" t="s">
        <v>534</v>
      </c>
    </row>
    <row r="201" spans="1:76">
      <c r="A201" s="47" t="s">
        <v>4</v>
      </c>
      <c r="B201" s="48" t="s">
        <v>535</v>
      </c>
      <c r="C201" s="150" t="s">
        <v>536</v>
      </c>
      <c r="D201" s="151"/>
      <c r="E201" s="49" t="s">
        <v>79</v>
      </c>
      <c r="F201" s="49" t="s">
        <v>79</v>
      </c>
      <c r="G201" s="50" t="s">
        <v>79</v>
      </c>
      <c r="H201" s="28">
        <f>SUM(H202:H203)</f>
        <v>0</v>
      </c>
      <c r="J201" s="41"/>
      <c r="AI201" s="35" t="s">
        <v>4</v>
      </c>
      <c r="AS201" s="28">
        <f>SUM(AJ202:AJ203)</f>
        <v>0</v>
      </c>
      <c r="AT201" s="28">
        <f>SUM(AK202:AK203)</f>
        <v>0</v>
      </c>
      <c r="AU201" s="28">
        <f>SUM(AL202:AL203)</f>
        <v>0</v>
      </c>
    </row>
    <row r="202" spans="1:76">
      <c r="A202" s="1" t="s">
        <v>537</v>
      </c>
      <c r="B202" s="2" t="s">
        <v>538</v>
      </c>
      <c r="C202" s="75" t="s">
        <v>539</v>
      </c>
      <c r="D202" s="70"/>
      <c r="E202" s="2" t="s">
        <v>258</v>
      </c>
      <c r="F202" s="51">
        <v>1</v>
      </c>
      <c r="G202" s="52">
        <v>0</v>
      </c>
      <c r="H202" s="51">
        <f>ROUND(F202*G202,2)</f>
        <v>0</v>
      </c>
      <c r="J202" s="41"/>
      <c r="Z202" s="51">
        <f>ROUND(IF(AQ202="5",BJ202,0),2)</f>
        <v>0</v>
      </c>
      <c r="AB202" s="51">
        <f>ROUND(IF(AQ202="1",BH202,0),2)</f>
        <v>0</v>
      </c>
      <c r="AC202" s="51">
        <f>ROUND(IF(AQ202="1",BI202,0),2)</f>
        <v>0</v>
      </c>
      <c r="AD202" s="51">
        <f>ROUND(IF(AQ202="7",BH202,0),2)</f>
        <v>0</v>
      </c>
      <c r="AE202" s="51">
        <f>ROUND(IF(AQ202="7",BI202,0),2)</f>
        <v>0</v>
      </c>
      <c r="AF202" s="51">
        <f>ROUND(IF(AQ202="2",BH202,0),2)</f>
        <v>0</v>
      </c>
      <c r="AG202" s="51">
        <f>ROUND(IF(AQ202="2",BI202,0),2)</f>
        <v>0</v>
      </c>
      <c r="AH202" s="51">
        <f>ROUND(IF(AQ202="0",BJ202,0),2)</f>
        <v>0</v>
      </c>
      <c r="AI202" s="35" t="s">
        <v>4</v>
      </c>
      <c r="AJ202" s="51">
        <f>IF(AN202=0,H202,0)</f>
        <v>0</v>
      </c>
      <c r="AK202" s="51">
        <f>IF(AN202=12,H202,0)</f>
        <v>0</v>
      </c>
      <c r="AL202" s="51">
        <f>IF(AN202=21,H202,0)</f>
        <v>0</v>
      </c>
      <c r="AN202" s="51">
        <v>12</v>
      </c>
      <c r="AO202" s="51">
        <f>G202*0.3452</f>
        <v>0</v>
      </c>
      <c r="AP202" s="51">
        <f>G202*(1-0.3452)</f>
        <v>0</v>
      </c>
      <c r="AQ202" s="53" t="s">
        <v>149</v>
      </c>
      <c r="AV202" s="51">
        <f>ROUND(AW202+AX202,2)</f>
        <v>0</v>
      </c>
      <c r="AW202" s="51">
        <f>ROUND(F202*AO202,2)</f>
        <v>0</v>
      </c>
      <c r="AX202" s="51">
        <f>ROUND(F202*AP202,2)</f>
        <v>0</v>
      </c>
      <c r="AY202" s="53" t="s">
        <v>540</v>
      </c>
      <c r="AZ202" s="53" t="s">
        <v>541</v>
      </c>
      <c r="BA202" s="35" t="s">
        <v>117</v>
      </c>
      <c r="BC202" s="51">
        <f>AW202+AX202</f>
        <v>0</v>
      </c>
      <c r="BD202" s="51">
        <f>G202/(100-BE202)*100</f>
        <v>0</v>
      </c>
      <c r="BE202" s="51">
        <v>0</v>
      </c>
      <c r="BF202" s="51">
        <f>202</f>
        <v>202</v>
      </c>
      <c r="BH202" s="51">
        <f>F202*AO202</f>
        <v>0</v>
      </c>
      <c r="BI202" s="51">
        <f>F202*AP202</f>
        <v>0</v>
      </c>
      <c r="BJ202" s="51">
        <f>F202*G202</f>
        <v>0</v>
      </c>
      <c r="BK202" s="53" t="s">
        <v>118</v>
      </c>
      <c r="BL202" s="51">
        <v>735</v>
      </c>
      <c r="BW202" s="51">
        <v>12</v>
      </c>
      <c r="BX202" s="3" t="s">
        <v>539</v>
      </c>
    </row>
    <row r="203" spans="1:76">
      <c r="A203" s="1" t="s">
        <v>542</v>
      </c>
      <c r="B203" s="2" t="s">
        <v>543</v>
      </c>
      <c r="C203" s="75" t="s">
        <v>544</v>
      </c>
      <c r="D203" s="70"/>
      <c r="E203" s="2" t="s">
        <v>247</v>
      </c>
      <c r="F203" s="51">
        <v>1</v>
      </c>
      <c r="G203" s="52">
        <v>0</v>
      </c>
      <c r="H203" s="51">
        <f>ROUND(F203*G203,2)</f>
        <v>0</v>
      </c>
      <c r="J203" s="41"/>
      <c r="Z203" s="51">
        <f>ROUND(IF(AQ203="5",BJ203,0),2)</f>
        <v>0</v>
      </c>
      <c r="AB203" s="51">
        <f>ROUND(IF(AQ203="1",BH203,0),2)</f>
        <v>0</v>
      </c>
      <c r="AC203" s="51">
        <f>ROUND(IF(AQ203="1",BI203,0),2)</f>
        <v>0</v>
      </c>
      <c r="AD203" s="51">
        <f>ROUND(IF(AQ203="7",BH203,0),2)</f>
        <v>0</v>
      </c>
      <c r="AE203" s="51">
        <f>ROUND(IF(AQ203="7",BI203,0),2)</f>
        <v>0</v>
      </c>
      <c r="AF203" s="51">
        <f>ROUND(IF(AQ203="2",BH203,0),2)</f>
        <v>0</v>
      </c>
      <c r="AG203" s="51">
        <f>ROUND(IF(AQ203="2",BI203,0),2)</f>
        <v>0</v>
      </c>
      <c r="AH203" s="51">
        <f>ROUND(IF(AQ203="0",BJ203,0),2)</f>
        <v>0</v>
      </c>
      <c r="AI203" s="35" t="s">
        <v>4</v>
      </c>
      <c r="AJ203" s="51">
        <f>IF(AN203=0,H203,0)</f>
        <v>0</v>
      </c>
      <c r="AK203" s="51">
        <f>IF(AN203=12,H203,0)</f>
        <v>0</v>
      </c>
      <c r="AL203" s="51">
        <f>IF(AN203=21,H203,0)</f>
        <v>0</v>
      </c>
      <c r="AN203" s="51">
        <v>12</v>
      </c>
      <c r="AO203" s="51">
        <f>G203*0.629222</f>
        <v>0</v>
      </c>
      <c r="AP203" s="51">
        <f>G203*(1-0.629222)</f>
        <v>0</v>
      </c>
      <c r="AQ203" s="53" t="s">
        <v>149</v>
      </c>
      <c r="AV203" s="51">
        <f>ROUND(AW203+AX203,2)</f>
        <v>0</v>
      </c>
      <c r="AW203" s="51">
        <f>ROUND(F203*AO203,2)</f>
        <v>0</v>
      </c>
      <c r="AX203" s="51">
        <f>ROUND(F203*AP203,2)</f>
        <v>0</v>
      </c>
      <c r="AY203" s="53" t="s">
        <v>540</v>
      </c>
      <c r="AZ203" s="53" t="s">
        <v>541</v>
      </c>
      <c r="BA203" s="35" t="s">
        <v>117</v>
      </c>
      <c r="BC203" s="51">
        <f>AW203+AX203</f>
        <v>0</v>
      </c>
      <c r="BD203" s="51">
        <f>G203/(100-BE203)*100</f>
        <v>0</v>
      </c>
      <c r="BE203" s="51">
        <v>0</v>
      </c>
      <c r="BF203" s="51">
        <f>203</f>
        <v>203</v>
      </c>
      <c r="BH203" s="51">
        <f>F203*AO203</f>
        <v>0</v>
      </c>
      <c r="BI203" s="51">
        <f>F203*AP203</f>
        <v>0</v>
      </c>
      <c r="BJ203" s="51">
        <f>F203*G203</f>
        <v>0</v>
      </c>
      <c r="BK203" s="53" t="s">
        <v>118</v>
      </c>
      <c r="BL203" s="51">
        <v>735</v>
      </c>
      <c r="BW203" s="51">
        <v>12</v>
      </c>
      <c r="BX203" s="3" t="s">
        <v>544</v>
      </c>
    </row>
    <row r="204" spans="1:76">
      <c r="A204" s="47" t="s">
        <v>4</v>
      </c>
      <c r="B204" s="48" t="s">
        <v>545</v>
      </c>
      <c r="C204" s="150" t="s">
        <v>546</v>
      </c>
      <c r="D204" s="151"/>
      <c r="E204" s="49" t="s">
        <v>79</v>
      </c>
      <c r="F204" s="49" t="s">
        <v>79</v>
      </c>
      <c r="G204" s="50" t="s">
        <v>79</v>
      </c>
      <c r="H204" s="28">
        <f>SUM(H205:H218)</f>
        <v>0</v>
      </c>
      <c r="J204" s="41"/>
      <c r="AI204" s="35" t="s">
        <v>4</v>
      </c>
      <c r="AS204" s="28">
        <f>SUM(AJ205:AJ218)</f>
        <v>0</v>
      </c>
      <c r="AT204" s="28">
        <f>SUM(AK205:AK218)</f>
        <v>0</v>
      </c>
      <c r="AU204" s="28">
        <f>SUM(AL205:AL218)</f>
        <v>0</v>
      </c>
    </row>
    <row r="205" spans="1:76">
      <c r="A205" s="1" t="s">
        <v>547</v>
      </c>
      <c r="B205" s="2" t="s">
        <v>548</v>
      </c>
      <c r="C205" s="75" t="s">
        <v>549</v>
      </c>
      <c r="D205" s="70"/>
      <c r="E205" s="2" t="s">
        <v>114</v>
      </c>
      <c r="F205" s="51">
        <v>4</v>
      </c>
      <c r="G205" s="52">
        <v>0</v>
      </c>
      <c r="H205" s="51">
        <f t="shared" ref="H205:H213" si="82">ROUND(F205*G205,2)</f>
        <v>0</v>
      </c>
      <c r="J205" s="41"/>
      <c r="Z205" s="51">
        <f t="shared" ref="Z205:Z213" si="83">ROUND(IF(AQ205="5",BJ205,0),2)</f>
        <v>0</v>
      </c>
      <c r="AB205" s="51">
        <f t="shared" ref="AB205:AB213" si="84">ROUND(IF(AQ205="1",BH205,0),2)</f>
        <v>0</v>
      </c>
      <c r="AC205" s="51">
        <f t="shared" ref="AC205:AC213" si="85">ROUND(IF(AQ205="1",BI205,0),2)</f>
        <v>0</v>
      </c>
      <c r="AD205" s="51">
        <f t="shared" ref="AD205:AD213" si="86">ROUND(IF(AQ205="7",BH205,0),2)</f>
        <v>0</v>
      </c>
      <c r="AE205" s="51">
        <f t="shared" ref="AE205:AE213" si="87">ROUND(IF(AQ205="7",BI205,0),2)</f>
        <v>0</v>
      </c>
      <c r="AF205" s="51">
        <f t="shared" ref="AF205:AF213" si="88">ROUND(IF(AQ205="2",BH205,0),2)</f>
        <v>0</v>
      </c>
      <c r="AG205" s="51">
        <f t="shared" ref="AG205:AG213" si="89">ROUND(IF(AQ205="2",BI205,0),2)</f>
        <v>0</v>
      </c>
      <c r="AH205" s="51">
        <f t="shared" ref="AH205:AH213" si="90">ROUND(IF(AQ205="0",BJ205,0),2)</f>
        <v>0</v>
      </c>
      <c r="AI205" s="35" t="s">
        <v>4</v>
      </c>
      <c r="AJ205" s="51">
        <f t="shared" ref="AJ205:AJ213" si="91">IF(AN205=0,H205,0)</f>
        <v>0</v>
      </c>
      <c r="AK205" s="51">
        <f t="shared" ref="AK205:AK213" si="92">IF(AN205=12,H205,0)</f>
        <v>0</v>
      </c>
      <c r="AL205" s="51">
        <f t="shared" ref="AL205:AL213" si="93">IF(AN205=21,H205,0)</f>
        <v>0</v>
      </c>
      <c r="AN205" s="51">
        <v>12</v>
      </c>
      <c r="AO205" s="51">
        <f t="shared" ref="AO205:AO212" si="94">G205*0</f>
        <v>0</v>
      </c>
      <c r="AP205" s="51">
        <f t="shared" ref="AP205:AP212" si="95">G205*(1-0)</f>
        <v>0</v>
      </c>
      <c r="AQ205" s="53" t="s">
        <v>149</v>
      </c>
      <c r="AV205" s="51">
        <f t="shared" ref="AV205:AV213" si="96">ROUND(AW205+AX205,2)</f>
        <v>0</v>
      </c>
      <c r="AW205" s="51">
        <f t="shared" ref="AW205:AW213" si="97">ROUND(F205*AO205,2)</f>
        <v>0</v>
      </c>
      <c r="AX205" s="51">
        <f t="shared" ref="AX205:AX213" si="98">ROUND(F205*AP205,2)</f>
        <v>0</v>
      </c>
      <c r="AY205" s="53" t="s">
        <v>550</v>
      </c>
      <c r="AZ205" s="53" t="s">
        <v>551</v>
      </c>
      <c r="BA205" s="35" t="s">
        <v>117</v>
      </c>
      <c r="BC205" s="51">
        <f t="shared" ref="BC205:BC213" si="99">AW205+AX205</f>
        <v>0</v>
      </c>
      <c r="BD205" s="51">
        <f t="shared" ref="BD205:BD213" si="100">G205/(100-BE205)*100</f>
        <v>0</v>
      </c>
      <c r="BE205" s="51">
        <v>0</v>
      </c>
      <c r="BF205" s="51">
        <f>205</f>
        <v>205</v>
      </c>
      <c r="BH205" s="51">
        <f t="shared" ref="BH205:BH213" si="101">F205*AO205</f>
        <v>0</v>
      </c>
      <c r="BI205" s="51">
        <f t="shared" ref="BI205:BI213" si="102">F205*AP205</f>
        <v>0</v>
      </c>
      <c r="BJ205" s="51">
        <f t="shared" ref="BJ205:BJ213" si="103">F205*G205</f>
        <v>0</v>
      </c>
      <c r="BK205" s="53" t="s">
        <v>118</v>
      </c>
      <c r="BL205" s="51">
        <v>766</v>
      </c>
      <c r="BW205" s="51">
        <v>12</v>
      </c>
      <c r="BX205" s="3" t="s">
        <v>549</v>
      </c>
    </row>
    <row r="206" spans="1:76">
      <c r="A206" s="1" t="s">
        <v>552</v>
      </c>
      <c r="B206" s="2" t="s">
        <v>553</v>
      </c>
      <c r="C206" s="75" t="s">
        <v>554</v>
      </c>
      <c r="D206" s="70"/>
      <c r="E206" s="2" t="s">
        <v>114</v>
      </c>
      <c r="F206" s="51">
        <v>1</v>
      </c>
      <c r="G206" s="52">
        <v>0</v>
      </c>
      <c r="H206" s="51">
        <f t="shared" si="82"/>
        <v>0</v>
      </c>
      <c r="J206" s="41"/>
      <c r="Z206" s="51">
        <f t="shared" si="83"/>
        <v>0</v>
      </c>
      <c r="AB206" s="51">
        <f t="shared" si="84"/>
        <v>0</v>
      </c>
      <c r="AC206" s="51">
        <f t="shared" si="85"/>
        <v>0</v>
      </c>
      <c r="AD206" s="51">
        <f t="shared" si="86"/>
        <v>0</v>
      </c>
      <c r="AE206" s="51">
        <f t="shared" si="87"/>
        <v>0</v>
      </c>
      <c r="AF206" s="51">
        <f t="shared" si="88"/>
        <v>0</v>
      </c>
      <c r="AG206" s="51">
        <f t="shared" si="89"/>
        <v>0</v>
      </c>
      <c r="AH206" s="51">
        <f t="shared" si="90"/>
        <v>0</v>
      </c>
      <c r="AI206" s="35" t="s">
        <v>4</v>
      </c>
      <c r="AJ206" s="51">
        <f t="shared" si="91"/>
        <v>0</v>
      </c>
      <c r="AK206" s="51">
        <f t="shared" si="92"/>
        <v>0</v>
      </c>
      <c r="AL206" s="51">
        <f t="shared" si="93"/>
        <v>0</v>
      </c>
      <c r="AN206" s="51">
        <v>12</v>
      </c>
      <c r="AO206" s="51">
        <f t="shared" si="94"/>
        <v>0</v>
      </c>
      <c r="AP206" s="51">
        <f t="shared" si="95"/>
        <v>0</v>
      </c>
      <c r="AQ206" s="53" t="s">
        <v>149</v>
      </c>
      <c r="AV206" s="51">
        <f t="shared" si="96"/>
        <v>0</v>
      </c>
      <c r="AW206" s="51">
        <f t="shared" si="97"/>
        <v>0</v>
      </c>
      <c r="AX206" s="51">
        <f t="shared" si="98"/>
        <v>0</v>
      </c>
      <c r="AY206" s="53" t="s">
        <v>550</v>
      </c>
      <c r="AZ206" s="53" t="s">
        <v>551</v>
      </c>
      <c r="BA206" s="35" t="s">
        <v>117</v>
      </c>
      <c r="BC206" s="51">
        <f t="shared" si="99"/>
        <v>0</v>
      </c>
      <c r="BD206" s="51">
        <f t="shared" si="100"/>
        <v>0</v>
      </c>
      <c r="BE206" s="51">
        <v>0</v>
      </c>
      <c r="BF206" s="51">
        <f>206</f>
        <v>206</v>
      </c>
      <c r="BH206" s="51">
        <f t="shared" si="101"/>
        <v>0</v>
      </c>
      <c r="BI206" s="51">
        <f t="shared" si="102"/>
        <v>0</v>
      </c>
      <c r="BJ206" s="51">
        <f t="shared" si="103"/>
        <v>0</v>
      </c>
      <c r="BK206" s="53" t="s">
        <v>118</v>
      </c>
      <c r="BL206" s="51">
        <v>766</v>
      </c>
      <c r="BW206" s="51">
        <v>12</v>
      </c>
      <c r="BX206" s="3" t="s">
        <v>554</v>
      </c>
    </row>
    <row r="207" spans="1:76">
      <c r="A207" s="1" t="s">
        <v>555</v>
      </c>
      <c r="B207" s="2" t="s">
        <v>556</v>
      </c>
      <c r="C207" s="75" t="s">
        <v>557</v>
      </c>
      <c r="D207" s="70"/>
      <c r="E207" s="2" t="s">
        <v>114</v>
      </c>
      <c r="F207" s="51">
        <v>1</v>
      </c>
      <c r="G207" s="52">
        <v>0</v>
      </c>
      <c r="H207" s="51">
        <f t="shared" si="82"/>
        <v>0</v>
      </c>
      <c r="J207" s="41"/>
      <c r="Z207" s="51">
        <f t="shared" si="83"/>
        <v>0</v>
      </c>
      <c r="AB207" s="51">
        <f t="shared" si="84"/>
        <v>0</v>
      </c>
      <c r="AC207" s="51">
        <f t="shared" si="85"/>
        <v>0</v>
      </c>
      <c r="AD207" s="51">
        <f t="shared" si="86"/>
        <v>0</v>
      </c>
      <c r="AE207" s="51">
        <f t="shared" si="87"/>
        <v>0</v>
      </c>
      <c r="AF207" s="51">
        <f t="shared" si="88"/>
        <v>0</v>
      </c>
      <c r="AG207" s="51">
        <f t="shared" si="89"/>
        <v>0</v>
      </c>
      <c r="AH207" s="51">
        <f t="shared" si="90"/>
        <v>0</v>
      </c>
      <c r="AI207" s="35" t="s">
        <v>4</v>
      </c>
      <c r="AJ207" s="51">
        <f t="shared" si="91"/>
        <v>0</v>
      </c>
      <c r="AK207" s="51">
        <f t="shared" si="92"/>
        <v>0</v>
      </c>
      <c r="AL207" s="51">
        <f t="shared" si="93"/>
        <v>0</v>
      </c>
      <c r="AN207" s="51">
        <v>12</v>
      </c>
      <c r="AO207" s="51">
        <f t="shared" si="94"/>
        <v>0</v>
      </c>
      <c r="AP207" s="51">
        <f t="shared" si="95"/>
        <v>0</v>
      </c>
      <c r="AQ207" s="53" t="s">
        <v>149</v>
      </c>
      <c r="AV207" s="51">
        <f t="shared" si="96"/>
        <v>0</v>
      </c>
      <c r="AW207" s="51">
        <f t="shared" si="97"/>
        <v>0</v>
      </c>
      <c r="AX207" s="51">
        <f t="shared" si="98"/>
        <v>0</v>
      </c>
      <c r="AY207" s="53" t="s">
        <v>550</v>
      </c>
      <c r="AZ207" s="53" t="s">
        <v>551</v>
      </c>
      <c r="BA207" s="35" t="s">
        <v>117</v>
      </c>
      <c r="BC207" s="51">
        <f t="shared" si="99"/>
        <v>0</v>
      </c>
      <c r="BD207" s="51">
        <f t="shared" si="100"/>
        <v>0</v>
      </c>
      <c r="BE207" s="51">
        <v>0</v>
      </c>
      <c r="BF207" s="51">
        <f>207</f>
        <v>207</v>
      </c>
      <c r="BH207" s="51">
        <f t="shared" si="101"/>
        <v>0</v>
      </c>
      <c r="BI207" s="51">
        <f t="shared" si="102"/>
        <v>0</v>
      </c>
      <c r="BJ207" s="51">
        <f t="shared" si="103"/>
        <v>0</v>
      </c>
      <c r="BK207" s="53" t="s">
        <v>118</v>
      </c>
      <c r="BL207" s="51">
        <v>766</v>
      </c>
      <c r="BW207" s="51">
        <v>12</v>
      </c>
      <c r="BX207" s="3" t="s">
        <v>557</v>
      </c>
    </row>
    <row r="208" spans="1:76">
      <c r="A208" s="1" t="s">
        <v>558</v>
      </c>
      <c r="B208" s="2" t="s">
        <v>559</v>
      </c>
      <c r="C208" s="75" t="s">
        <v>560</v>
      </c>
      <c r="D208" s="70"/>
      <c r="E208" s="2" t="s">
        <v>114</v>
      </c>
      <c r="F208" s="51">
        <v>1</v>
      </c>
      <c r="G208" s="52">
        <v>0</v>
      </c>
      <c r="H208" s="51">
        <f t="shared" si="82"/>
        <v>0</v>
      </c>
      <c r="J208" s="41"/>
      <c r="Z208" s="51">
        <f t="shared" si="83"/>
        <v>0</v>
      </c>
      <c r="AB208" s="51">
        <f t="shared" si="84"/>
        <v>0</v>
      </c>
      <c r="AC208" s="51">
        <f t="shared" si="85"/>
        <v>0</v>
      </c>
      <c r="AD208" s="51">
        <f t="shared" si="86"/>
        <v>0</v>
      </c>
      <c r="AE208" s="51">
        <f t="shared" si="87"/>
        <v>0</v>
      </c>
      <c r="AF208" s="51">
        <f t="shared" si="88"/>
        <v>0</v>
      </c>
      <c r="AG208" s="51">
        <f t="shared" si="89"/>
        <v>0</v>
      </c>
      <c r="AH208" s="51">
        <f t="shared" si="90"/>
        <v>0</v>
      </c>
      <c r="AI208" s="35" t="s">
        <v>4</v>
      </c>
      <c r="AJ208" s="51">
        <f t="shared" si="91"/>
        <v>0</v>
      </c>
      <c r="AK208" s="51">
        <f t="shared" si="92"/>
        <v>0</v>
      </c>
      <c r="AL208" s="51">
        <f t="shared" si="93"/>
        <v>0</v>
      </c>
      <c r="AN208" s="51">
        <v>12</v>
      </c>
      <c r="AO208" s="51">
        <f t="shared" si="94"/>
        <v>0</v>
      </c>
      <c r="AP208" s="51">
        <f t="shared" si="95"/>
        <v>0</v>
      </c>
      <c r="AQ208" s="53" t="s">
        <v>149</v>
      </c>
      <c r="AV208" s="51">
        <f t="shared" si="96"/>
        <v>0</v>
      </c>
      <c r="AW208" s="51">
        <f t="shared" si="97"/>
        <v>0</v>
      </c>
      <c r="AX208" s="51">
        <f t="shared" si="98"/>
        <v>0</v>
      </c>
      <c r="AY208" s="53" t="s">
        <v>550</v>
      </c>
      <c r="AZ208" s="53" t="s">
        <v>551</v>
      </c>
      <c r="BA208" s="35" t="s">
        <v>117</v>
      </c>
      <c r="BC208" s="51">
        <f t="shared" si="99"/>
        <v>0</v>
      </c>
      <c r="BD208" s="51">
        <f t="shared" si="100"/>
        <v>0</v>
      </c>
      <c r="BE208" s="51">
        <v>0</v>
      </c>
      <c r="BF208" s="51">
        <f>208</f>
        <v>208</v>
      </c>
      <c r="BH208" s="51">
        <f t="shared" si="101"/>
        <v>0</v>
      </c>
      <c r="BI208" s="51">
        <f t="shared" si="102"/>
        <v>0</v>
      </c>
      <c r="BJ208" s="51">
        <f t="shared" si="103"/>
        <v>0</v>
      </c>
      <c r="BK208" s="53" t="s">
        <v>118</v>
      </c>
      <c r="BL208" s="51">
        <v>766</v>
      </c>
      <c r="BW208" s="51">
        <v>12</v>
      </c>
      <c r="BX208" s="3" t="s">
        <v>560</v>
      </c>
    </row>
    <row r="209" spans="1:76">
      <c r="A209" s="1" t="s">
        <v>561</v>
      </c>
      <c r="B209" s="2" t="s">
        <v>562</v>
      </c>
      <c r="C209" s="75" t="s">
        <v>563</v>
      </c>
      <c r="D209" s="70"/>
      <c r="E209" s="2" t="s">
        <v>114</v>
      </c>
      <c r="F209" s="51">
        <v>3</v>
      </c>
      <c r="G209" s="52">
        <v>0</v>
      </c>
      <c r="H209" s="51">
        <f t="shared" si="82"/>
        <v>0</v>
      </c>
      <c r="J209" s="41"/>
      <c r="Z209" s="51">
        <f t="shared" si="83"/>
        <v>0</v>
      </c>
      <c r="AB209" s="51">
        <f t="shared" si="84"/>
        <v>0</v>
      </c>
      <c r="AC209" s="51">
        <f t="shared" si="85"/>
        <v>0</v>
      </c>
      <c r="AD209" s="51">
        <f t="shared" si="86"/>
        <v>0</v>
      </c>
      <c r="AE209" s="51">
        <f t="shared" si="87"/>
        <v>0</v>
      </c>
      <c r="AF209" s="51">
        <f t="shared" si="88"/>
        <v>0</v>
      </c>
      <c r="AG209" s="51">
        <f t="shared" si="89"/>
        <v>0</v>
      </c>
      <c r="AH209" s="51">
        <f t="shared" si="90"/>
        <v>0</v>
      </c>
      <c r="AI209" s="35" t="s">
        <v>4</v>
      </c>
      <c r="AJ209" s="51">
        <f t="shared" si="91"/>
        <v>0</v>
      </c>
      <c r="AK209" s="51">
        <f t="shared" si="92"/>
        <v>0</v>
      </c>
      <c r="AL209" s="51">
        <f t="shared" si="93"/>
        <v>0</v>
      </c>
      <c r="AN209" s="51">
        <v>12</v>
      </c>
      <c r="AO209" s="51">
        <f t="shared" si="94"/>
        <v>0</v>
      </c>
      <c r="AP209" s="51">
        <f t="shared" si="95"/>
        <v>0</v>
      </c>
      <c r="AQ209" s="53" t="s">
        <v>149</v>
      </c>
      <c r="AV209" s="51">
        <f t="shared" si="96"/>
        <v>0</v>
      </c>
      <c r="AW209" s="51">
        <f t="shared" si="97"/>
        <v>0</v>
      </c>
      <c r="AX209" s="51">
        <f t="shared" si="98"/>
        <v>0</v>
      </c>
      <c r="AY209" s="53" t="s">
        <v>550</v>
      </c>
      <c r="AZ209" s="53" t="s">
        <v>551</v>
      </c>
      <c r="BA209" s="35" t="s">
        <v>117</v>
      </c>
      <c r="BC209" s="51">
        <f t="shared" si="99"/>
        <v>0</v>
      </c>
      <c r="BD209" s="51">
        <f t="shared" si="100"/>
        <v>0</v>
      </c>
      <c r="BE209" s="51">
        <v>0</v>
      </c>
      <c r="BF209" s="51">
        <f>209</f>
        <v>209</v>
      </c>
      <c r="BH209" s="51">
        <f t="shared" si="101"/>
        <v>0</v>
      </c>
      <c r="BI209" s="51">
        <f t="shared" si="102"/>
        <v>0</v>
      </c>
      <c r="BJ209" s="51">
        <f t="shared" si="103"/>
        <v>0</v>
      </c>
      <c r="BK209" s="53" t="s">
        <v>118</v>
      </c>
      <c r="BL209" s="51">
        <v>766</v>
      </c>
      <c r="BW209" s="51">
        <v>12</v>
      </c>
      <c r="BX209" s="3" t="s">
        <v>563</v>
      </c>
    </row>
    <row r="210" spans="1:76">
      <c r="A210" s="1" t="s">
        <v>564</v>
      </c>
      <c r="B210" s="2" t="s">
        <v>565</v>
      </c>
      <c r="C210" s="75" t="s">
        <v>566</v>
      </c>
      <c r="D210" s="70"/>
      <c r="E210" s="2" t="s">
        <v>114</v>
      </c>
      <c r="F210" s="51">
        <v>1</v>
      </c>
      <c r="G210" s="52">
        <v>0</v>
      </c>
      <c r="H210" s="51">
        <f t="shared" si="82"/>
        <v>0</v>
      </c>
      <c r="J210" s="41"/>
      <c r="Z210" s="51">
        <f t="shared" si="83"/>
        <v>0</v>
      </c>
      <c r="AB210" s="51">
        <f t="shared" si="84"/>
        <v>0</v>
      </c>
      <c r="AC210" s="51">
        <f t="shared" si="85"/>
        <v>0</v>
      </c>
      <c r="AD210" s="51">
        <f t="shared" si="86"/>
        <v>0</v>
      </c>
      <c r="AE210" s="51">
        <f t="shared" si="87"/>
        <v>0</v>
      </c>
      <c r="AF210" s="51">
        <f t="shared" si="88"/>
        <v>0</v>
      </c>
      <c r="AG210" s="51">
        <f t="shared" si="89"/>
        <v>0</v>
      </c>
      <c r="AH210" s="51">
        <f t="shared" si="90"/>
        <v>0</v>
      </c>
      <c r="AI210" s="35" t="s">
        <v>4</v>
      </c>
      <c r="AJ210" s="51">
        <f t="shared" si="91"/>
        <v>0</v>
      </c>
      <c r="AK210" s="51">
        <f t="shared" si="92"/>
        <v>0</v>
      </c>
      <c r="AL210" s="51">
        <f t="shared" si="93"/>
        <v>0</v>
      </c>
      <c r="AN210" s="51">
        <v>12</v>
      </c>
      <c r="AO210" s="51">
        <f t="shared" si="94"/>
        <v>0</v>
      </c>
      <c r="AP210" s="51">
        <f t="shared" si="95"/>
        <v>0</v>
      </c>
      <c r="AQ210" s="53" t="s">
        <v>149</v>
      </c>
      <c r="AV210" s="51">
        <f t="shared" si="96"/>
        <v>0</v>
      </c>
      <c r="AW210" s="51">
        <f t="shared" si="97"/>
        <v>0</v>
      </c>
      <c r="AX210" s="51">
        <f t="shared" si="98"/>
        <v>0</v>
      </c>
      <c r="AY210" s="53" t="s">
        <v>550</v>
      </c>
      <c r="AZ210" s="53" t="s">
        <v>551</v>
      </c>
      <c r="BA210" s="35" t="s">
        <v>117</v>
      </c>
      <c r="BC210" s="51">
        <f t="shared" si="99"/>
        <v>0</v>
      </c>
      <c r="BD210" s="51">
        <f t="shared" si="100"/>
        <v>0</v>
      </c>
      <c r="BE210" s="51">
        <v>0</v>
      </c>
      <c r="BF210" s="51">
        <f>210</f>
        <v>210</v>
      </c>
      <c r="BH210" s="51">
        <f t="shared" si="101"/>
        <v>0</v>
      </c>
      <c r="BI210" s="51">
        <f t="shared" si="102"/>
        <v>0</v>
      </c>
      <c r="BJ210" s="51">
        <f t="shared" si="103"/>
        <v>0</v>
      </c>
      <c r="BK210" s="53" t="s">
        <v>118</v>
      </c>
      <c r="BL210" s="51">
        <v>766</v>
      </c>
      <c r="BW210" s="51">
        <v>12</v>
      </c>
      <c r="BX210" s="3" t="s">
        <v>566</v>
      </c>
    </row>
    <row r="211" spans="1:76">
      <c r="A211" s="1" t="s">
        <v>567</v>
      </c>
      <c r="B211" s="2" t="s">
        <v>568</v>
      </c>
      <c r="C211" s="75" t="s">
        <v>569</v>
      </c>
      <c r="D211" s="70"/>
      <c r="E211" s="2" t="s">
        <v>114</v>
      </c>
      <c r="F211" s="51">
        <v>1</v>
      </c>
      <c r="G211" s="52">
        <v>0</v>
      </c>
      <c r="H211" s="51">
        <f t="shared" si="82"/>
        <v>0</v>
      </c>
      <c r="J211" s="41"/>
      <c r="Z211" s="51">
        <f t="shared" si="83"/>
        <v>0</v>
      </c>
      <c r="AB211" s="51">
        <f t="shared" si="84"/>
        <v>0</v>
      </c>
      <c r="AC211" s="51">
        <f t="shared" si="85"/>
        <v>0</v>
      </c>
      <c r="AD211" s="51">
        <f t="shared" si="86"/>
        <v>0</v>
      </c>
      <c r="AE211" s="51">
        <f t="shared" si="87"/>
        <v>0</v>
      </c>
      <c r="AF211" s="51">
        <f t="shared" si="88"/>
        <v>0</v>
      </c>
      <c r="AG211" s="51">
        <f t="shared" si="89"/>
        <v>0</v>
      </c>
      <c r="AH211" s="51">
        <f t="shared" si="90"/>
        <v>0</v>
      </c>
      <c r="AI211" s="35" t="s">
        <v>4</v>
      </c>
      <c r="AJ211" s="51">
        <f t="shared" si="91"/>
        <v>0</v>
      </c>
      <c r="AK211" s="51">
        <f t="shared" si="92"/>
        <v>0</v>
      </c>
      <c r="AL211" s="51">
        <f t="shared" si="93"/>
        <v>0</v>
      </c>
      <c r="AN211" s="51">
        <v>12</v>
      </c>
      <c r="AO211" s="51">
        <f t="shared" si="94"/>
        <v>0</v>
      </c>
      <c r="AP211" s="51">
        <f t="shared" si="95"/>
        <v>0</v>
      </c>
      <c r="AQ211" s="53" t="s">
        <v>149</v>
      </c>
      <c r="AV211" s="51">
        <f t="shared" si="96"/>
        <v>0</v>
      </c>
      <c r="AW211" s="51">
        <f t="shared" si="97"/>
        <v>0</v>
      </c>
      <c r="AX211" s="51">
        <f t="shared" si="98"/>
        <v>0</v>
      </c>
      <c r="AY211" s="53" t="s">
        <v>550</v>
      </c>
      <c r="AZ211" s="53" t="s">
        <v>551</v>
      </c>
      <c r="BA211" s="35" t="s">
        <v>117</v>
      </c>
      <c r="BC211" s="51">
        <f t="shared" si="99"/>
        <v>0</v>
      </c>
      <c r="BD211" s="51">
        <f t="shared" si="100"/>
        <v>0</v>
      </c>
      <c r="BE211" s="51">
        <v>0</v>
      </c>
      <c r="BF211" s="51">
        <f>211</f>
        <v>211</v>
      </c>
      <c r="BH211" s="51">
        <f t="shared" si="101"/>
        <v>0</v>
      </c>
      <c r="BI211" s="51">
        <f t="shared" si="102"/>
        <v>0</v>
      </c>
      <c r="BJ211" s="51">
        <f t="shared" si="103"/>
        <v>0</v>
      </c>
      <c r="BK211" s="53" t="s">
        <v>118</v>
      </c>
      <c r="BL211" s="51">
        <v>766</v>
      </c>
      <c r="BW211" s="51">
        <v>12</v>
      </c>
      <c r="BX211" s="3" t="s">
        <v>569</v>
      </c>
    </row>
    <row r="212" spans="1:76">
      <c r="A212" s="1" t="s">
        <v>570</v>
      </c>
      <c r="B212" s="2" t="s">
        <v>571</v>
      </c>
      <c r="C212" s="75" t="s">
        <v>572</v>
      </c>
      <c r="D212" s="70"/>
      <c r="E212" s="2" t="s">
        <v>573</v>
      </c>
      <c r="F212" s="51">
        <v>2</v>
      </c>
      <c r="G212" s="52">
        <v>0</v>
      </c>
      <c r="H212" s="51">
        <f t="shared" si="82"/>
        <v>0</v>
      </c>
      <c r="J212" s="41"/>
      <c r="Z212" s="51">
        <f t="shared" si="83"/>
        <v>0</v>
      </c>
      <c r="AB212" s="51">
        <f t="shared" si="84"/>
        <v>0</v>
      </c>
      <c r="AC212" s="51">
        <f t="shared" si="85"/>
        <v>0</v>
      </c>
      <c r="AD212" s="51">
        <f t="shared" si="86"/>
        <v>0</v>
      </c>
      <c r="AE212" s="51">
        <f t="shared" si="87"/>
        <v>0</v>
      </c>
      <c r="AF212" s="51">
        <f t="shared" si="88"/>
        <v>0</v>
      </c>
      <c r="AG212" s="51">
        <f t="shared" si="89"/>
        <v>0</v>
      </c>
      <c r="AH212" s="51">
        <f t="shared" si="90"/>
        <v>0</v>
      </c>
      <c r="AI212" s="35" t="s">
        <v>4</v>
      </c>
      <c r="AJ212" s="51">
        <f t="shared" si="91"/>
        <v>0</v>
      </c>
      <c r="AK212" s="51">
        <f t="shared" si="92"/>
        <v>0</v>
      </c>
      <c r="AL212" s="51">
        <f t="shared" si="93"/>
        <v>0</v>
      </c>
      <c r="AN212" s="51">
        <v>12</v>
      </c>
      <c r="AO212" s="51">
        <f t="shared" si="94"/>
        <v>0</v>
      </c>
      <c r="AP212" s="51">
        <f t="shared" si="95"/>
        <v>0</v>
      </c>
      <c r="AQ212" s="53" t="s">
        <v>149</v>
      </c>
      <c r="AV212" s="51">
        <f t="shared" si="96"/>
        <v>0</v>
      </c>
      <c r="AW212" s="51">
        <f t="shared" si="97"/>
        <v>0</v>
      </c>
      <c r="AX212" s="51">
        <f t="shared" si="98"/>
        <v>0</v>
      </c>
      <c r="AY212" s="53" t="s">
        <v>550</v>
      </c>
      <c r="AZ212" s="53" t="s">
        <v>551</v>
      </c>
      <c r="BA212" s="35" t="s">
        <v>117</v>
      </c>
      <c r="BC212" s="51">
        <f t="shared" si="99"/>
        <v>0</v>
      </c>
      <c r="BD212" s="51">
        <f t="shared" si="100"/>
        <v>0</v>
      </c>
      <c r="BE212" s="51">
        <v>0</v>
      </c>
      <c r="BF212" s="51">
        <f>212</f>
        <v>212</v>
      </c>
      <c r="BH212" s="51">
        <f t="shared" si="101"/>
        <v>0</v>
      </c>
      <c r="BI212" s="51">
        <f t="shared" si="102"/>
        <v>0</v>
      </c>
      <c r="BJ212" s="51">
        <f t="shared" si="103"/>
        <v>0</v>
      </c>
      <c r="BK212" s="53" t="s">
        <v>118</v>
      </c>
      <c r="BL212" s="51">
        <v>766</v>
      </c>
      <c r="BW212" s="51">
        <v>12</v>
      </c>
      <c r="BX212" s="3" t="s">
        <v>572</v>
      </c>
    </row>
    <row r="213" spans="1:76">
      <c r="A213" s="1" t="s">
        <v>574</v>
      </c>
      <c r="B213" s="2" t="s">
        <v>575</v>
      </c>
      <c r="C213" s="75" t="s">
        <v>576</v>
      </c>
      <c r="D213" s="70"/>
      <c r="E213" s="2" t="s">
        <v>114</v>
      </c>
      <c r="F213" s="51">
        <v>1</v>
      </c>
      <c r="G213" s="52">
        <v>0</v>
      </c>
      <c r="H213" s="51">
        <f t="shared" si="82"/>
        <v>0</v>
      </c>
      <c r="J213" s="41"/>
      <c r="Z213" s="51">
        <f t="shared" si="83"/>
        <v>0</v>
      </c>
      <c r="AB213" s="51">
        <f t="shared" si="84"/>
        <v>0</v>
      </c>
      <c r="AC213" s="51">
        <f t="shared" si="85"/>
        <v>0</v>
      </c>
      <c r="AD213" s="51">
        <f t="shared" si="86"/>
        <v>0</v>
      </c>
      <c r="AE213" s="51">
        <f t="shared" si="87"/>
        <v>0</v>
      </c>
      <c r="AF213" s="51">
        <f t="shared" si="88"/>
        <v>0</v>
      </c>
      <c r="AG213" s="51">
        <f t="shared" si="89"/>
        <v>0</v>
      </c>
      <c r="AH213" s="51">
        <f t="shared" si="90"/>
        <v>0</v>
      </c>
      <c r="AI213" s="35" t="s">
        <v>4</v>
      </c>
      <c r="AJ213" s="51">
        <f t="shared" si="91"/>
        <v>0</v>
      </c>
      <c r="AK213" s="51">
        <f t="shared" si="92"/>
        <v>0</v>
      </c>
      <c r="AL213" s="51">
        <f t="shared" si="93"/>
        <v>0</v>
      </c>
      <c r="AN213" s="51">
        <v>12</v>
      </c>
      <c r="AO213" s="51">
        <f>G213*0.029623188</f>
        <v>0</v>
      </c>
      <c r="AP213" s="51">
        <f>G213*(1-0.029623188)</f>
        <v>0</v>
      </c>
      <c r="AQ213" s="53" t="s">
        <v>149</v>
      </c>
      <c r="AV213" s="51">
        <f t="shared" si="96"/>
        <v>0</v>
      </c>
      <c r="AW213" s="51">
        <f t="shared" si="97"/>
        <v>0</v>
      </c>
      <c r="AX213" s="51">
        <f t="shared" si="98"/>
        <v>0</v>
      </c>
      <c r="AY213" s="53" t="s">
        <v>550</v>
      </c>
      <c r="AZ213" s="53" t="s">
        <v>551</v>
      </c>
      <c r="BA213" s="35" t="s">
        <v>117</v>
      </c>
      <c r="BC213" s="51">
        <f t="shared" si="99"/>
        <v>0</v>
      </c>
      <c r="BD213" s="51">
        <f t="shared" si="100"/>
        <v>0</v>
      </c>
      <c r="BE213" s="51">
        <v>0</v>
      </c>
      <c r="BF213" s="51">
        <f>213</f>
        <v>213</v>
      </c>
      <c r="BH213" s="51">
        <f t="shared" si="101"/>
        <v>0</v>
      </c>
      <c r="BI213" s="51">
        <f t="shared" si="102"/>
        <v>0</v>
      </c>
      <c r="BJ213" s="51">
        <f t="shared" si="103"/>
        <v>0</v>
      </c>
      <c r="BK213" s="53" t="s">
        <v>118</v>
      </c>
      <c r="BL213" s="51">
        <v>766</v>
      </c>
      <c r="BW213" s="51">
        <v>12</v>
      </c>
      <c r="BX213" s="3" t="s">
        <v>576</v>
      </c>
    </row>
    <row r="214" spans="1:76">
      <c r="A214" s="54"/>
      <c r="C214" s="56" t="s">
        <v>111</v>
      </c>
      <c r="D214" s="57" t="s">
        <v>577</v>
      </c>
      <c r="F214" s="58">
        <v>1</v>
      </c>
      <c r="J214" s="41"/>
    </row>
    <row r="215" spans="1:76" ht="25.5">
      <c r="A215" s="1" t="s">
        <v>578</v>
      </c>
      <c r="B215" s="2" t="s">
        <v>579</v>
      </c>
      <c r="C215" s="75" t="s">
        <v>580</v>
      </c>
      <c r="D215" s="70"/>
      <c r="E215" s="2" t="s">
        <v>114</v>
      </c>
      <c r="F215" s="51">
        <v>2</v>
      </c>
      <c r="G215" s="52">
        <v>0</v>
      </c>
      <c r="H215" s="51">
        <f>ROUND(F215*G215,2)</f>
        <v>0</v>
      </c>
      <c r="J215" s="41"/>
      <c r="Z215" s="51">
        <f>ROUND(IF(AQ215="5",BJ215,0),2)</f>
        <v>0</v>
      </c>
      <c r="AB215" s="51">
        <f>ROUND(IF(AQ215="1",BH215,0),2)</f>
        <v>0</v>
      </c>
      <c r="AC215" s="51">
        <f>ROUND(IF(AQ215="1",BI215,0),2)</f>
        <v>0</v>
      </c>
      <c r="AD215" s="51">
        <f>ROUND(IF(AQ215="7",BH215,0),2)</f>
        <v>0</v>
      </c>
      <c r="AE215" s="51">
        <f>ROUND(IF(AQ215="7",BI215,0),2)</f>
        <v>0</v>
      </c>
      <c r="AF215" s="51">
        <f>ROUND(IF(AQ215="2",BH215,0),2)</f>
        <v>0</v>
      </c>
      <c r="AG215" s="51">
        <f>ROUND(IF(AQ215="2",BI215,0),2)</f>
        <v>0</v>
      </c>
      <c r="AH215" s="51">
        <f>ROUND(IF(AQ215="0",BJ215,0),2)</f>
        <v>0</v>
      </c>
      <c r="AI215" s="35" t="s">
        <v>4</v>
      </c>
      <c r="AJ215" s="51">
        <f>IF(AN215=0,H215,0)</f>
        <v>0</v>
      </c>
      <c r="AK215" s="51">
        <f>IF(AN215=12,H215,0)</f>
        <v>0</v>
      </c>
      <c r="AL215" s="51">
        <f>IF(AN215=21,H215,0)</f>
        <v>0</v>
      </c>
      <c r="AN215" s="51">
        <v>12</v>
      </c>
      <c r="AO215" s="51">
        <f>G215*1</f>
        <v>0</v>
      </c>
      <c r="AP215" s="51">
        <f>G215*(1-1)</f>
        <v>0</v>
      </c>
      <c r="AQ215" s="53" t="s">
        <v>149</v>
      </c>
      <c r="AV215" s="51">
        <f>ROUND(AW215+AX215,2)</f>
        <v>0</v>
      </c>
      <c r="AW215" s="51">
        <f>ROUND(F215*AO215,2)</f>
        <v>0</v>
      </c>
      <c r="AX215" s="51">
        <f>ROUND(F215*AP215,2)</f>
        <v>0</v>
      </c>
      <c r="AY215" s="53" t="s">
        <v>550</v>
      </c>
      <c r="AZ215" s="53" t="s">
        <v>551</v>
      </c>
      <c r="BA215" s="35" t="s">
        <v>117</v>
      </c>
      <c r="BC215" s="51">
        <f>AW215+AX215</f>
        <v>0</v>
      </c>
      <c r="BD215" s="51">
        <f>G215/(100-BE215)*100</f>
        <v>0</v>
      </c>
      <c r="BE215" s="51">
        <v>0</v>
      </c>
      <c r="BF215" s="51">
        <f>215</f>
        <v>215</v>
      </c>
      <c r="BH215" s="51">
        <f>F215*AO215</f>
        <v>0</v>
      </c>
      <c r="BI215" s="51">
        <f>F215*AP215</f>
        <v>0</v>
      </c>
      <c r="BJ215" s="51">
        <f>F215*G215</f>
        <v>0</v>
      </c>
      <c r="BK215" s="53" t="s">
        <v>528</v>
      </c>
      <c r="BL215" s="51">
        <v>766</v>
      </c>
      <c r="BW215" s="51">
        <v>12</v>
      </c>
      <c r="BX215" s="3" t="s">
        <v>580</v>
      </c>
    </row>
    <row r="216" spans="1:76" ht="25.5">
      <c r="A216" s="1" t="s">
        <v>581</v>
      </c>
      <c r="B216" s="2" t="s">
        <v>582</v>
      </c>
      <c r="C216" s="75" t="s">
        <v>583</v>
      </c>
      <c r="D216" s="70"/>
      <c r="E216" s="2" t="s">
        <v>114</v>
      </c>
      <c r="F216" s="51">
        <v>1</v>
      </c>
      <c r="G216" s="52">
        <v>0</v>
      </c>
      <c r="H216" s="51">
        <f>ROUND(F216*G216,2)</f>
        <v>0</v>
      </c>
      <c r="J216" s="41"/>
      <c r="Z216" s="51">
        <f>ROUND(IF(AQ216="5",BJ216,0),2)</f>
        <v>0</v>
      </c>
      <c r="AB216" s="51">
        <f>ROUND(IF(AQ216="1",BH216,0),2)</f>
        <v>0</v>
      </c>
      <c r="AC216" s="51">
        <f>ROUND(IF(AQ216="1",BI216,0),2)</f>
        <v>0</v>
      </c>
      <c r="AD216" s="51">
        <f>ROUND(IF(AQ216="7",BH216,0),2)</f>
        <v>0</v>
      </c>
      <c r="AE216" s="51">
        <f>ROUND(IF(AQ216="7",BI216,0),2)</f>
        <v>0</v>
      </c>
      <c r="AF216" s="51">
        <f>ROUND(IF(AQ216="2",BH216,0),2)</f>
        <v>0</v>
      </c>
      <c r="AG216" s="51">
        <f>ROUND(IF(AQ216="2",BI216,0),2)</f>
        <v>0</v>
      </c>
      <c r="AH216" s="51">
        <f>ROUND(IF(AQ216="0",BJ216,0),2)</f>
        <v>0</v>
      </c>
      <c r="AI216" s="35" t="s">
        <v>4</v>
      </c>
      <c r="AJ216" s="51">
        <f>IF(AN216=0,H216,0)</f>
        <v>0</v>
      </c>
      <c r="AK216" s="51">
        <f>IF(AN216=12,H216,0)</f>
        <v>0</v>
      </c>
      <c r="AL216" s="51">
        <f>IF(AN216=21,H216,0)</f>
        <v>0</v>
      </c>
      <c r="AN216" s="51">
        <v>12</v>
      </c>
      <c r="AO216" s="51">
        <f>G216*1</f>
        <v>0</v>
      </c>
      <c r="AP216" s="51">
        <f>G216*(1-1)</f>
        <v>0</v>
      </c>
      <c r="AQ216" s="53" t="s">
        <v>149</v>
      </c>
      <c r="AV216" s="51">
        <f>ROUND(AW216+AX216,2)</f>
        <v>0</v>
      </c>
      <c r="AW216" s="51">
        <f>ROUND(F216*AO216,2)</f>
        <v>0</v>
      </c>
      <c r="AX216" s="51">
        <f>ROUND(F216*AP216,2)</f>
        <v>0</v>
      </c>
      <c r="AY216" s="53" t="s">
        <v>550</v>
      </c>
      <c r="AZ216" s="53" t="s">
        <v>551</v>
      </c>
      <c r="BA216" s="35" t="s">
        <v>117</v>
      </c>
      <c r="BC216" s="51">
        <f>AW216+AX216</f>
        <v>0</v>
      </c>
      <c r="BD216" s="51">
        <f>G216/(100-BE216)*100</f>
        <v>0</v>
      </c>
      <c r="BE216" s="51">
        <v>0</v>
      </c>
      <c r="BF216" s="51">
        <f>216</f>
        <v>216</v>
      </c>
      <c r="BH216" s="51">
        <f>F216*AO216</f>
        <v>0</v>
      </c>
      <c r="BI216" s="51">
        <f>F216*AP216</f>
        <v>0</v>
      </c>
      <c r="BJ216" s="51">
        <f>F216*G216</f>
        <v>0</v>
      </c>
      <c r="BK216" s="53" t="s">
        <v>528</v>
      </c>
      <c r="BL216" s="51">
        <v>766</v>
      </c>
      <c r="BW216" s="51">
        <v>12</v>
      </c>
      <c r="BX216" s="3" t="s">
        <v>583</v>
      </c>
    </row>
    <row r="217" spans="1:76">
      <c r="A217" s="1" t="s">
        <v>584</v>
      </c>
      <c r="B217" s="2" t="s">
        <v>585</v>
      </c>
      <c r="C217" s="75" t="s">
        <v>586</v>
      </c>
      <c r="D217" s="70"/>
      <c r="E217" s="2" t="s">
        <v>114</v>
      </c>
      <c r="F217" s="51">
        <v>1</v>
      </c>
      <c r="G217" s="52">
        <v>0</v>
      </c>
      <c r="H217" s="51">
        <f>ROUND(F217*G217,2)</f>
        <v>0</v>
      </c>
      <c r="J217" s="41"/>
      <c r="Z217" s="51">
        <f>ROUND(IF(AQ217="5",BJ217,0),2)</f>
        <v>0</v>
      </c>
      <c r="AB217" s="51">
        <f>ROUND(IF(AQ217="1",BH217,0),2)</f>
        <v>0</v>
      </c>
      <c r="AC217" s="51">
        <f>ROUND(IF(AQ217="1",BI217,0),2)</f>
        <v>0</v>
      </c>
      <c r="AD217" s="51">
        <f>ROUND(IF(AQ217="7",BH217,0),2)</f>
        <v>0</v>
      </c>
      <c r="AE217" s="51">
        <f>ROUND(IF(AQ217="7",BI217,0),2)</f>
        <v>0</v>
      </c>
      <c r="AF217" s="51">
        <f>ROUND(IF(AQ217="2",BH217,0),2)</f>
        <v>0</v>
      </c>
      <c r="AG217" s="51">
        <f>ROUND(IF(AQ217="2",BI217,0),2)</f>
        <v>0</v>
      </c>
      <c r="AH217" s="51">
        <f>ROUND(IF(AQ217="0",BJ217,0),2)</f>
        <v>0</v>
      </c>
      <c r="AI217" s="35" t="s">
        <v>4</v>
      </c>
      <c r="AJ217" s="51">
        <f>IF(AN217=0,H217,0)</f>
        <v>0</v>
      </c>
      <c r="AK217" s="51">
        <f>IF(AN217=12,H217,0)</f>
        <v>0</v>
      </c>
      <c r="AL217" s="51">
        <f>IF(AN217=21,H217,0)</f>
        <v>0</v>
      </c>
      <c r="AN217" s="51">
        <v>12</v>
      </c>
      <c r="AO217" s="51">
        <f>G217*1</f>
        <v>0</v>
      </c>
      <c r="AP217" s="51">
        <f>G217*(1-1)</f>
        <v>0</v>
      </c>
      <c r="AQ217" s="53" t="s">
        <v>149</v>
      </c>
      <c r="AV217" s="51">
        <f>ROUND(AW217+AX217,2)</f>
        <v>0</v>
      </c>
      <c r="AW217" s="51">
        <f>ROUND(F217*AO217,2)</f>
        <v>0</v>
      </c>
      <c r="AX217" s="51">
        <f>ROUND(F217*AP217,2)</f>
        <v>0</v>
      </c>
      <c r="AY217" s="53" t="s">
        <v>550</v>
      </c>
      <c r="AZ217" s="53" t="s">
        <v>551</v>
      </c>
      <c r="BA217" s="35" t="s">
        <v>117</v>
      </c>
      <c r="BC217" s="51">
        <f>AW217+AX217</f>
        <v>0</v>
      </c>
      <c r="BD217" s="51">
        <f>G217/(100-BE217)*100</f>
        <v>0</v>
      </c>
      <c r="BE217" s="51">
        <v>0</v>
      </c>
      <c r="BF217" s="51">
        <f>217</f>
        <v>217</v>
      </c>
      <c r="BH217" s="51">
        <f>F217*AO217</f>
        <v>0</v>
      </c>
      <c r="BI217" s="51">
        <f>F217*AP217</f>
        <v>0</v>
      </c>
      <c r="BJ217" s="51">
        <f>F217*G217</f>
        <v>0</v>
      </c>
      <c r="BK217" s="53" t="s">
        <v>528</v>
      </c>
      <c r="BL217" s="51">
        <v>766</v>
      </c>
      <c r="BW217" s="51">
        <v>12</v>
      </c>
      <c r="BX217" s="3" t="s">
        <v>586</v>
      </c>
    </row>
    <row r="218" spans="1:76">
      <c r="A218" s="1" t="s">
        <v>587</v>
      </c>
      <c r="B218" s="2" t="s">
        <v>588</v>
      </c>
      <c r="C218" s="75" t="s">
        <v>589</v>
      </c>
      <c r="D218" s="70"/>
      <c r="E218" s="2" t="s">
        <v>308</v>
      </c>
      <c r="F218" s="51">
        <v>0.56100000000000005</v>
      </c>
      <c r="G218" s="52">
        <v>0</v>
      </c>
      <c r="H218" s="51">
        <f>ROUND(F218*G218,2)</f>
        <v>0</v>
      </c>
      <c r="J218" s="41"/>
      <c r="Z218" s="51">
        <f>ROUND(IF(AQ218="5",BJ218,0),2)</f>
        <v>0</v>
      </c>
      <c r="AB218" s="51">
        <f>ROUND(IF(AQ218="1",BH218,0),2)</f>
        <v>0</v>
      </c>
      <c r="AC218" s="51">
        <f>ROUND(IF(AQ218="1",BI218,0),2)</f>
        <v>0</v>
      </c>
      <c r="AD218" s="51">
        <f>ROUND(IF(AQ218="7",BH218,0),2)</f>
        <v>0</v>
      </c>
      <c r="AE218" s="51">
        <f>ROUND(IF(AQ218="7",BI218,0),2)</f>
        <v>0</v>
      </c>
      <c r="AF218" s="51">
        <f>ROUND(IF(AQ218="2",BH218,0),2)</f>
        <v>0</v>
      </c>
      <c r="AG218" s="51">
        <f>ROUND(IF(AQ218="2",BI218,0),2)</f>
        <v>0</v>
      </c>
      <c r="AH218" s="51">
        <f>ROUND(IF(AQ218="0",BJ218,0),2)</f>
        <v>0</v>
      </c>
      <c r="AI218" s="35" t="s">
        <v>4</v>
      </c>
      <c r="AJ218" s="51">
        <f>IF(AN218=0,H218,0)</f>
        <v>0</v>
      </c>
      <c r="AK218" s="51">
        <f>IF(AN218=12,H218,0)</f>
        <v>0</v>
      </c>
      <c r="AL218" s="51">
        <f>IF(AN218=21,H218,0)</f>
        <v>0</v>
      </c>
      <c r="AN218" s="51">
        <v>12</v>
      </c>
      <c r="AO218" s="51">
        <f>G218*0</f>
        <v>0</v>
      </c>
      <c r="AP218" s="51">
        <f>G218*(1-0)</f>
        <v>0</v>
      </c>
      <c r="AQ218" s="53" t="s">
        <v>138</v>
      </c>
      <c r="AV218" s="51">
        <f>ROUND(AW218+AX218,2)</f>
        <v>0</v>
      </c>
      <c r="AW218" s="51">
        <f>ROUND(F218*AO218,2)</f>
        <v>0</v>
      </c>
      <c r="AX218" s="51">
        <f>ROUND(F218*AP218,2)</f>
        <v>0</v>
      </c>
      <c r="AY218" s="53" t="s">
        <v>550</v>
      </c>
      <c r="AZ218" s="53" t="s">
        <v>551</v>
      </c>
      <c r="BA218" s="35" t="s">
        <v>117</v>
      </c>
      <c r="BC218" s="51">
        <f>AW218+AX218</f>
        <v>0</v>
      </c>
      <c r="BD218" s="51">
        <f>G218/(100-BE218)*100</f>
        <v>0</v>
      </c>
      <c r="BE218" s="51">
        <v>0</v>
      </c>
      <c r="BF218" s="51">
        <f>218</f>
        <v>218</v>
      </c>
      <c r="BH218" s="51">
        <f>F218*AO218</f>
        <v>0</v>
      </c>
      <c r="BI218" s="51">
        <f>F218*AP218</f>
        <v>0</v>
      </c>
      <c r="BJ218" s="51">
        <f>F218*G218</f>
        <v>0</v>
      </c>
      <c r="BK218" s="53" t="s">
        <v>118</v>
      </c>
      <c r="BL218" s="51">
        <v>766</v>
      </c>
      <c r="BW218" s="51">
        <v>12</v>
      </c>
      <c r="BX218" s="3" t="s">
        <v>589</v>
      </c>
    </row>
    <row r="219" spans="1:76">
      <c r="A219" s="47" t="s">
        <v>4</v>
      </c>
      <c r="B219" s="48" t="s">
        <v>590</v>
      </c>
      <c r="C219" s="150" t="s">
        <v>591</v>
      </c>
      <c r="D219" s="151"/>
      <c r="E219" s="49" t="s">
        <v>79</v>
      </c>
      <c r="F219" s="49" t="s">
        <v>79</v>
      </c>
      <c r="G219" s="50" t="s">
        <v>79</v>
      </c>
      <c r="H219" s="28">
        <f>SUM(H220:H229)</f>
        <v>0</v>
      </c>
      <c r="J219" s="41"/>
      <c r="AI219" s="35" t="s">
        <v>4</v>
      </c>
      <c r="AS219" s="28">
        <f>SUM(AJ220:AJ229)</f>
        <v>0</v>
      </c>
      <c r="AT219" s="28">
        <f>SUM(AK220:AK229)</f>
        <v>0</v>
      </c>
      <c r="AU219" s="28">
        <f>SUM(AL220:AL229)</f>
        <v>0</v>
      </c>
    </row>
    <row r="220" spans="1:76">
      <c r="A220" s="1" t="s">
        <v>592</v>
      </c>
      <c r="B220" s="2" t="s">
        <v>593</v>
      </c>
      <c r="C220" s="75" t="s">
        <v>594</v>
      </c>
      <c r="D220" s="70"/>
      <c r="E220" s="2" t="s">
        <v>125</v>
      </c>
      <c r="F220" s="51">
        <v>2.6</v>
      </c>
      <c r="G220" s="52">
        <v>0</v>
      </c>
      <c r="H220" s="51">
        <f>ROUND(F220*G220,2)</f>
        <v>0</v>
      </c>
      <c r="J220" s="41"/>
      <c r="Z220" s="51">
        <f>ROUND(IF(AQ220="5",BJ220,0),2)</f>
        <v>0</v>
      </c>
      <c r="AB220" s="51">
        <f>ROUND(IF(AQ220="1",BH220,0),2)</f>
        <v>0</v>
      </c>
      <c r="AC220" s="51">
        <f>ROUND(IF(AQ220="1",BI220,0),2)</f>
        <v>0</v>
      </c>
      <c r="AD220" s="51">
        <f>ROUND(IF(AQ220="7",BH220,0),2)</f>
        <v>0</v>
      </c>
      <c r="AE220" s="51">
        <f>ROUND(IF(AQ220="7",BI220,0),2)</f>
        <v>0</v>
      </c>
      <c r="AF220" s="51">
        <f>ROUND(IF(AQ220="2",BH220,0),2)</f>
        <v>0</v>
      </c>
      <c r="AG220" s="51">
        <f>ROUND(IF(AQ220="2",BI220,0),2)</f>
        <v>0</v>
      </c>
      <c r="AH220" s="51">
        <f>ROUND(IF(AQ220="0",BJ220,0),2)</f>
        <v>0</v>
      </c>
      <c r="AI220" s="35" t="s">
        <v>4</v>
      </c>
      <c r="AJ220" s="51">
        <f>IF(AN220=0,H220,0)</f>
        <v>0</v>
      </c>
      <c r="AK220" s="51">
        <f>IF(AN220=12,H220,0)</f>
        <v>0</v>
      </c>
      <c r="AL220" s="51">
        <f>IF(AN220=21,H220,0)</f>
        <v>0</v>
      </c>
      <c r="AN220" s="51">
        <v>12</v>
      </c>
      <c r="AO220" s="51">
        <f>G220*0.422507591</f>
        <v>0</v>
      </c>
      <c r="AP220" s="51">
        <f>G220*(1-0.422507591)</f>
        <v>0</v>
      </c>
      <c r="AQ220" s="53" t="s">
        <v>149</v>
      </c>
      <c r="AV220" s="51">
        <f>ROUND(AW220+AX220,2)</f>
        <v>0</v>
      </c>
      <c r="AW220" s="51">
        <f>ROUND(F220*AO220,2)</f>
        <v>0</v>
      </c>
      <c r="AX220" s="51">
        <f>ROUND(F220*AP220,2)</f>
        <v>0</v>
      </c>
      <c r="AY220" s="53" t="s">
        <v>595</v>
      </c>
      <c r="AZ220" s="53" t="s">
        <v>596</v>
      </c>
      <c r="BA220" s="35" t="s">
        <v>117</v>
      </c>
      <c r="BC220" s="51">
        <f>AW220+AX220</f>
        <v>0</v>
      </c>
      <c r="BD220" s="51">
        <f>G220/(100-BE220)*100</f>
        <v>0</v>
      </c>
      <c r="BE220" s="51">
        <v>0</v>
      </c>
      <c r="BF220" s="51">
        <f>220</f>
        <v>220</v>
      </c>
      <c r="BH220" s="51">
        <f>F220*AO220</f>
        <v>0</v>
      </c>
      <c r="BI220" s="51">
        <f>F220*AP220</f>
        <v>0</v>
      </c>
      <c r="BJ220" s="51">
        <f>F220*G220</f>
        <v>0</v>
      </c>
      <c r="BK220" s="53" t="s">
        <v>118</v>
      </c>
      <c r="BL220" s="51">
        <v>771</v>
      </c>
      <c r="BW220" s="51">
        <v>12</v>
      </c>
      <c r="BX220" s="3" t="s">
        <v>594</v>
      </c>
    </row>
    <row r="221" spans="1:76">
      <c r="A221" s="1" t="s">
        <v>597</v>
      </c>
      <c r="B221" s="2" t="s">
        <v>598</v>
      </c>
      <c r="C221" s="75" t="s">
        <v>599</v>
      </c>
      <c r="D221" s="70"/>
      <c r="E221" s="2" t="s">
        <v>125</v>
      </c>
      <c r="F221" s="51">
        <v>2.6</v>
      </c>
      <c r="G221" s="52">
        <v>0</v>
      </c>
      <c r="H221" s="51">
        <f>ROUND(F221*G221,2)</f>
        <v>0</v>
      </c>
      <c r="J221" s="41"/>
      <c r="Z221" s="51">
        <f>ROUND(IF(AQ221="5",BJ221,0),2)</f>
        <v>0</v>
      </c>
      <c r="AB221" s="51">
        <f>ROUND(IF(AQ221="1",BH221,0),2)</f>
        <v>0</v>
      </c>
      <c r="AC221" s="51">
        <f>ROUND(IF(AQ221="1",BI221,0),2)</f>
        <v>0</v>
      </c>
      <c r="AD221" s="51">
        <f>ROUND(IF(AQ221="7",BH221,0),2)</f>
        <v>0</v>
      </c>
      <c r="AE221" s="51">
        <f>ROUND(IF(AQ221="7",BI221,0),2)</f>
        <v>0</v>
      </c>
      <c r="AF221" s="51">
        <f>ROUND(IF(AQ221="2",BH221,0),2)</f>
        <v>0</v>
      </c>
      <c r="AG221" s="51">
        <f>ROUND(IF(AQ221="2",BI221,0),2)</f>
        <v>0</v>
      </c>
      <c r="AH221" s="51">
        <f>ROUND(IF(AQ221="0",BJ221,0),2)</f>
        <v>0</v>
      </c>
      <c r="AI221" s="35" t="s">
        <v>4</v>
      </c>
      <c r="AJ221" s="51">
        <f>IF(AN221=0,H221,0)</f>
        <v>0</v>
      </c>
      <c r="AK221" s="51">
        <f>IF(AN221=12,H221,0)</f>
        <v>0</v>
      </c>
      <c r="AL221" s="51">
        <f>IF(AN221=21,H221,0)</f>
        <v>0</v>
      </c>
      <c r="AN221" s="51">
        <v>12</v>
      </c>
      <c r="AO221" s="51">
        <f>G221*0.205436266</f>
        <v>0</v>
      </c>
      <c r="AP221" s="51">
        <f>G221*(1-0.205436266)</f>
        <v>0</v>
      </c>
      <c r="AQ221" s="53" t="s">
        <v>149</v>
      </c>
      <c r="AV221" s="51">
        <f>ROUND(AW221+AX221,2)</f>
        <v>0</v>
      </c>
      <c r="AW221" s="51">
        <f>ROUND(F221*AO221,2)</f>
        <v>0</v>
      </c>
      <c r="AX221" s="51">
        <f>ROUND(F221*AP221,2)</f>
        <v>0</v>
      </c>
      <c r="AY221" s="53" t="s">
        <v>595</v>
      </c>
      <c r="AZ221" s="53" t="s">
        <v>596</v>
      </c>
      <c r="BA221" s="35" t="s">
        <v>117</v>
      </c>
      <c r="BC221" s="51">
        <f>AW221+AX221</f>
        <v>0</v>
      </c>
      <c r="BD221" s="51">
        <f>G221/(100-BE221)*100</f>
        <v>0</v>
      </c>
      <c r="BE221" s="51">
        <v>0</v>
      </c>
      <c r="BF221" s="51">
        <f>221</f>
        <v>221</v>
      </c>
      <c r="BH221" s="51">
        <f>F221*AO221</f>
        <v>0</v>
      </c>
      <c r="BI221" s="51">
        <f>F221*AP221</f>
        <v>0</v>
      </c>
      <c r="BJ221" s="51">
        <f>F221*G221</f>
        <v>0</v>
      </c>
      <c r="BK221" s="53" t="s">
        <v>118</v>
      </c>
      <c r="BL221" s="51">
        <v>771</v>
      </c>
      <c r="BW221" s="51">
        <v>12</v>
      </c>
      <c r="BX221" s="3" t="s">
        <v>599</v>
      </c>
    </row>
    <row r="222" spans="1:76">
      <c r="A222" s="54"/>
      <c r="C222" s="56" t="s">
        <v>600</v>
      </c>
      <c r="D222" s="57" t="s">
        <v>356</v>
      </c>
      <c r="F222" s="58">
        <v>2.6</v>
      </c>
      <c r="J222" s="41"/>
    </row>
    <row r="223" spans="1:76">
      <c r="A223" s="1" t="s">
        <v>601</v>
      </c>
      <c r="B223" s="2" t="s">
        <v>602</v>
      </c>
      <c r="C223" s="75" t="s">
        <v>603</v>
      </c>
      <c r="D223" s="70"/>
      <c r="E223" s="2" t="s">
        <v>125</v>
      </c>
      <c r="F223" s="51">
        <v>2.6</v>
      </c>
      <c r="G223" s="52">
        <v>0</v>
      </c>
      <c r="H223" s="51">
        <f>ROUND(F223*G223,2)</f>
        <v>0</v>
      </c>
      <c r="J223" s="41"/>
      <c r="Z223" s="51">
        <f>ROUND(IF(AQ223="5",BJ223,0),2)</f>
        <v>0</v>
      </c>
      <c r="AB223" s="51">
        <f>ROUND(IF(AQ223="1",BH223,0),2)</f>
        <v>0</v>
      </c>
      <c r="AC223" s="51">
        <f>ROUND(IF(AQ223="1",BI223,0),2)</f>
        <v>0</v>
      </c>
      <c r="AD223" s="51">
        <f>ROUND(IF(AQ223="7",BH223,0),2)</f>
        <v>0</v>
      </c>
      <c r="AE223" s="51">
        <f>ROUND(IF(AQ223="7",BI223,0),2)</f>
        <v>0</v>
      </c>
      <c r="AF223" s="51">
        <f>ROUND(IF(AQ223="2",BH223,0),2)</f>
        <v>0</v>
      </c>
      <c r="AG223" s="51">
        <f>ROUND(IF(AQ223="2",BI223,0),2)</f>
        <v>0</v>
      </c>
      <c r="AH223" s="51">
        <f>ROUND(IF(AQ223="0",BJ223,0),2)</f>
        <v>0</v>
      </c>
      <c r="AI223" s="35" t="s">
        <v>4</v>
      </c>
      <c r="AJ223" s="51">
        <f>IF(AN223=0,H223,0)</f>
        <v>0</v>
      </c>
      <c r="AK223" s="51">
        <f>IF(AN223=12,H223,0)</f>
        <v>0</v>
      </c>
      <c r="AL223" s="51">
        <f>IF(AN223=21,H223,0)</f>
        <v>0</v>
      </c>
      <c r="AN223" s="51">
        <v>12</v>
      </c>
      <c r="AO223" s="51">
        <f>G223*0</f>
        <v>0</v>
      </c>
      <c r="AP223" s="51">
        <f>G223*(1-0)</f>
        <v>0</v>
      </c>
      <c r="AQ223" s="53" t="s">
        <v>149</v>
      </c>
      <c r="AV223" s="51">
        <f>ROUND(AW223+AX223,2)</f>
        <v>0</v>
      </c>
      <c r="AW223" s="51">
        <f>ROUND(F223*AO223,2)</f>
        <v>0</v>
      </c>
      <c r="AX223" s="51">
        <f>ROUND(F223*AP223,2)</f>
        <v>0</v>
      </c>
      <c r="AY223" s="53" t="s">
        <v>595</v>
      </c>
      <c r="AZ223" s="53" t="s">
        <v>596</v>
      </c>
      <c r="BA223" s="35" t="s">
        <v>117</v>
      </c>
      <c r="BC223" s="51">
        <f>AW223+AX223</f>
        <v>0</v>
      </c>
      <c r="BD223" s="51">
        <f>G223/(100-BE223)*100</f>
        <v>0</v>
      </c>
      <c r="BE223" s="51">
        <v>0</v>
      </c>
      <c r="BF223" s="51">
        <f>223</f>
        <v>223</v>
      </c>
      <c r="BH223" s="51">
        <f>F223*AO223</f>
        <v>0</v>
      </c>
      <c r="BI223" s="51">
        <f>F223*AP223</f>
        <v>0</v>
      </c>
      <c r="BJ223" s="51">
        <f>F223*G223</f>
        <v>0</v>
      </c>
      <c r="BK223" s="53" t="s">
        <v>118</v>
      </c>
      <c r="BL223" s="51">
        <v>771</v>
      </c>
      <c r="BW223" s="51">
        <v>12</v>
      </c>
      <c r="BX223" s="3" t="s">
        <v>603</v>
      </c>
    </row>
    <row r="224" spans="1:76">
      <c r="A224" s="1" t="s">
        <v>604</v>
      </c>
      <c r="B224" s="2" t="s">
        <v>605</v>
      </c>
      <c r="C224" s="75" t="s">
        <v>606</v>
      </c>
      <c r="D224" s="70"/>
      <c r="E224" s="2" t="s">
        <v>135</v>
      </c>
      <c r="F224" s="51">
        <v>14.9</v>
      </c>
      <c r="G224" s="52">
        <v>0</v>
      </c>
      <c r="H224" s="51">
        <f>ROUND(F224*G224,2)</f>
        <v>0</v>
      </c>
      <c r="J224" s="41"/>
      <c r="Z224" s="51">
        <f>ROUND(IF(AQ224="5",BJ224,0),2)</f>
        <v>0</v>
      </c>
      <c r="AB224" s="51">
        <f>ROUND(IF(AQ224="1",BH224,0),2)</f>
        <v>0</v>
      </c>
      <c r="AC224" s="51">
        <f>ROUND(IF(AQ224="1",BI224,0),2)</f>
        <v>0</v>
      </c>
      <c r="AD224" s="51">
        <f>ROUND(IF(AQ224="7",BH224,0),2)</f>
        <v>0</v>
      </c>
      <c r="AE224" s="51">
        <f>ROUND(IF(AQ224="7",BI224,0),2)</f>
        <v>0</v>
      </c>
      <c r="AF224" s="51">
        <f>ROUND(IF(AQ224="2",BH224,0),2)</f>
        <v>0</v>
      </c>
      <c r="AG224" s="51">
        <f>ROUND(IF(AQ224="2",BI224,0),2)</f>
        <v>0</v>
      </c>
      <c r="AH224" s="51">
        <f>ROUND(IF(AQ224="0",BJ224,0),2)</f>
        <v>0</v>
      </c>
      <c r="AI224" s="35" t="s">
        <v>4</v>
      </c>
      <c r="AJ224" s="51">
        <f>IF(AN224=0,H224,0)</f>
        <v>0</v>
      </c>
      <c r="AK224" s="51">
        <f>IF(AN224=12,H224,0)</f>
        <v>0</v>
      </c>
      <c r="AL224" s="51">
        <f>IF(AN224=21,H224,0)</f>
        <v>0</v>
      </c>
      <c r="AN224" s="51">
        <v>12</v>
      </c>
      <c r="AO224" s="51">
        <f>G224*0.445200342</f>
        <v>0</v>
      </c>
      <c r="AP224" s="51">
        <f>G224*(1-0.445200342)</f>
        <v>0</v>
      </c>
      <c r="AQ224" s="53" t="s">
        <v>149</v>
      </c>
      <c r="AV224" s="51">
        <f>ROUND(AW224+AX224,2)</f>
        <v>0</v>
      </c>
      <c r="AW224" s="51">
        <f>ROUND(F224*AO224,2)</f>
        <v>0</v>
      </c>
      <c r="AX224" s="51">
        <f>ROUND(F224*AP224,2)</f>
        <v>0</v>
      </c>
      <c r="AY224" s="53" t="s">
        <v>595</v>
      </c>
      <c r="AZ224" s="53" t="s">
        <v>596</v>
      </c>
      <c r="BA224" s="35" t="s">
        <v>117</v>
      </c>
      <c r="BC224" s="51">
        <f>AW224+AX224</f>
        <v>0</v>
      </c>
      <c r="BD224" s="51">
        <f>G224/(100-BE224)*100</f>
        <v>0</v>
      </c>
      <c r="BE224" s="51">
        <v>0</v>
      </c>
      <c r="BF224" s="51">
        <f>224</f>
        <v>224</v>
      </c>
      <c r="BH224" s="51">
        <f>F224*AO224</f>
        <v>0</v>
      </c>
      <c r="BI224" s="51">
        <f>F224*AP224</f>
        <v>0</v>
      </c>
      <c r="BJ224" s="51">
        <f>F224*G224</f>
        <v>0</v>
      </c>
      <c r="BK224" s="53" t="s">
        <v>118</v>
      </c>
      <c r="BL224" s="51">
        <v>771</v>
      </c>
      <c r="BW224" s="51">
        <v>12</v>
      </c>
      <c r="BX224" s="3" t="s">
        <v>606</v>
      </c>
    </row>
    <row r="225" spans="1:76">
      <c r="A225" s="54"/>
      <c r="C225" s="56" t="s">
        <v>365</v>
      </c>
      <c r="D225" s="57" t="s">
        <v>607</v>
      </c>
      <c r="F225" s="58">
        <v>5.3</v>
      </c>
      <c r="J225" s="41"/>
    </row>
    <row r="226" spans="1:76">
      <c r="A226" s="54"/>
      <c r="C226" s="56" t="s">
        <v>608</v>
      </c>
      <c r="D226" s="57" t="s">
        <v>137</v>
      </c>
      <c r="F226" s="58">
        <v>8.4</v>
      </c>
      <c r="J226" s="41"/>
    </row>
    <row r="227" spans="1:76">
      <c r="A227" s="54"/>
      <c r="C227" s="56" t="s">
        <v>609</v>
      </c>
      <c r="D227" s="57" t="s">
        <v>610</v>
      </c>
      <c r="F227" s="58">
        <v>1.2</v>
      </c>
      <c r="J227" s="41"/>
    </row>
    <row r="228" spans="1:76">
      <c r="A228" s="1" t="s">
        <v>611</v>
      </c>
      <c r="B228" s="2" t="s">
        <v>612</v>
      </c>
      <c r="C228" s="75" t="s">
        <v>613</v>
      </c>
      <c r="D228" s="70"/>
      <c r="E228" s="2" t="s">
        <v>125</v>
      </c>
      <c r="F228" s="51">
        <v>3</v>
      </c>
      <c r="G228" s="52">
        <v>0</v>
      </c>
      <c r="H228" s="51">
        <f>ROUND(F228*G228,2)</f>
        <v>0</v>
      </c>
      <c r="J228" s="41"/>
      <c r="Z228" s="51">
        <f>ROUND(IF(AQ228="5",BJ228,0),2)</f>
        <v>0</v>
      </c>
      <c r="AB228" s="51">
        <f>ROUND(IF(AQ228="1",BH228,0),2)</f>
        <v>0</v>
      </c>
      <c r="AC228" s="51">
        <f>ROUND(IF(AQ228="1",BI228,0),2)</f>
        <v>0</v>
      </c>
      <c r="AD228" s="51">
        <f>ROUND(IF(AQ228="7",BH228,0),2)</f>
        <v>0</v>
      </c>
      <c r="AE228" s="51">
        <f>ROUND(IF(AQ228="7",BI228,0),2)</f>
        <v>0</v>
      </c>
      <c r="AF228" s="51">
        <f>ROUND(IF(AQ228="2",BH228,0),2)</f>
        <v>0</v>
      </c>
      <c r="AG228" s="51">
        <f>ROUND(IF(AQ228="2",BI228,0),2)</f>
        <v>0</v>
      </c>
      <c r="AH228" s="51">
        <f>ROUND(IF(AQ228="0",BJ228,0),2)</f>
        <v>0</v>
      </c>
      <c r="AI228" s="35" t="s">
        <v>4</v>
      </c>
      <c r="AJ228" s="51">
        <f>IF(AN228=0,H228,0)</f>
        <v>0</v>
      </c>
      <c r="AK228" s="51">
        <f>IF(AN228=12,H228,0)</f>
        <v>0</v>
      </c>
      <c r="AL228" s="51">
        <f>IF(AN228=21,H228,0)</f>
        <v>0</v>
      </c>
      <c r="AN228" s="51">
        <v>12</v>
      </c>
      <c r="AO228" s="51">
        <f>G228*1</f>
        <v>0</v>
      </c>
      <c r="AP228" s="51">
        <f>G228*(1-1)</f>
        <v>0</v>
      </c>
      <c r="AQ228" s="53" t="s">
        <v>149</v>
      </c>
      <c r="AV228" s="51">
        <f>ROUND(AW228+AX228,2)</f>
        <v>0</v>
      </c>
      <c r="AW228" s="51">
        <f>ROUND(F228*AO228,2)</f>
        <v>0</v>
      </c>
      <c r="AX228" s="51">
        <f>ROUND(F228*AP228,2)</f>
        <v>0</v>
      </c>
      <c r="AY228" s="53" t="s">
        <v>595</v>
      </c>
      <c r="AZ228" s="53" t="s">
        <v>596</v>
      </c>
      <c r="BA228" s="35" t="s">
        <v>117</v>
      </c>
      <c r="BC228" s="51">
        <f>AW228+AX228</f>
        <v>0</v>
      </c>
      <c r="BD228" s="51">
        <f>G228/(100-BE228)*100</f>
        <v>0</v>
      </c>
      <c r="BE228" s="51">
        <v>0</v>
      </c>
      <c r="BF228" s="51">
        <f>228</f>
        <v>228</v>
      </c>
      <c r="BH228" s="51">
        <f>F228*AO228</f>
        <v>0</v>
      </c>
      <c r="BI228" s="51">
        <f>F228*AP228</f>
        <v>0</v>
      </c>
      <c r="BJ228" s="51">
        <f>F228*G228</f>
        <v>0</v>
      </c>
      <c r="BK228" s="53" t="s">
        <v>528</v>
      </c>
      <c r="BL228" s="51">
        <v>771</v>
      </c>
      <c r="BW228" s="51">
        <v>12</v>
      </c>
      <c r="BX228" s="3" t="s">
        <v>613</v>
      </c>
    </row>
    <row r="229" spans="1:76">
      <c r="A229" s="1" t="s">
        <v>614</v>
      </c>
      <c r="B229" s="2" t="s">
        <v>615</v>
      </c>
      <c r="C229" s="75" t="s">
        <v>616</v>
      </c>
      <c r="D229" s="70"/>
      <c r="E229" s="2" t="s">
        <v>308</v>
      </c>
      <c r="F229" s="51">
        <v>7.1999999999999995E-2</v>
      </c>
      <c r="G229" s="52">
        <v>0</v>
      </c>
      <c r="H229" s="51">
        <f>ROUND(F229*G229,2)</f>
        <v>0</v>
      </c>
      <c r="J229" s="41"/>
      <c r="Z229" s="51">
        <f>ROUND(IF(AQ229="5",BJ229,0),2)</f>
        <v>0</v>
      </c>
      <c r="AB229" s="51">
        <f>ROUND(IF(AQ229="1",BH229,0),2)</f>
        <v>0</v>
      </c>
      <c r="AC229" s="51">
        <f>ROUND(IF(AQ229="1",BI229,0),2)</f>
        <v>0</v>
      </c>
      <c r="AD229" s="51">
        <f>ROUND(IF(AQ229="7",BH229,0),2)</f>
        <v>0</v>
      </c>
      <c r="AE229" s="51">
        <f>ROUND(IF(AQ229="7",BI229,0),2)</f>
        <v>0</v>
      </c>
      <c r="AF229" s="51">
        <f>ROUND(IF(AQ229="2",BH229,0),2)</f>
        <v>0</v>
      </c>
      <c r="AG229" s="51">
        <f>ROUND(IF(AQ229="2",BI229,0),2)</f>
        <v>0</v>
      </c>
      <c r="AH229" s="51">
        <f>ROUND(IF(AQ229="0",BJ229,0),2)</f>
        <v>0</v>
      </c>
      <c r="AI229" s="35" t="s">
        <v>4</v>
      </c>
      <c r="AJ229" s="51">
        <f>IF(AN229=0,H229,0)</f>
        <v>0</v>
      </c>
      <c r="AK229" s="51">
        <f>IF(AN229=12,H229,0)</f>
        <v>0</v>
      </c>
      <c r="AL229" s="51">
        <f>IF(AN229=21,H229,0)</f>
        <v>0</v>
      </c>
      <c r="AN229" s="51">
        <v>12</v>
      </c>
      <c r="AO229" s="51">
        <f>G229*0</f>
        <v>0</v>
      </c>
      <c r="AP229" s="51">
        <f>G229*(1-0)</f>
        <v>0</v>
      </c>
      <c r="AQ229" s="53" t="s">
        <v>138</v>
      </c>
      <c r="AV229" s="51">
        <f>ROUND(AW229+AX229,2)</f>
        <v>0</v>
      </c>
      <c r="AW229" s="51">
        <f>ROUND(F229*AO229,2)</f>
        <v>0</v>
      </c>
      <c r="AX229" s="51">
        <f>ROUND(F229*AP229,2)</f>
        <v>0</v>
      </c>
      <c r="AY229" s="53" t="s">
        <v>595</v>
      </c>
      <c r="AZ229" s="53" t="s">
        <v>596</v>
      </c>
      <c r="BA229" s="35" t="s">
        <v>117</v>
      </c>
      <c r="BC229" s="51">
        <f>AW229+AX229</f>
        <v>0</v>
      </c>
      <c r="BD229" s="51">
        <f>G229/(100-BE229)*100</f>
        <v>0</v>
      </c>
      <c r="BE229" s="51">
        <v>0</v>
      </c>
      <c r="BF229" s="51">
        <f>229</f>
        <v>229</v>
      </c>
      <c r="BH229" s="51">
        <f>F229*AO229</f>
        <v>0</v>
      </c>
      <c r="BI229" s="51">
        <f>F229*AP229</f>
        <v>0</v>
      </c>
      <c r="BJ229" s="51">
        <f>F229*G229</f>
        <v>0</v>
      </c>
      <c r="BK229" s="53" t="s">
        <v>118</v>
      </c>
      <c r="BL229" s="51">
        <v>771</v>
      </c>
      <c r="BW229" s="51">
        <v>12</v>
      </c>
      <c r="BX229" s="3" t="s">
        <v>616</v>
      </c>
    </row>
    <row r="230" spans="1:76">
      <c r="A230" s="47" t="s">
        <v>4</v>
      </c>
      <c r="B230" s="48" t="s">
        <v>617</v>
      </c>
      <c r="C230" s="150" t="s">
        <v>618</v>
      </c>
      <c r="D230" s="151"/>
      <c r="E230" s="49" t="s">
        <v>79</v>
      </c>
      <c r="F230" s="49" t="s">
        <v>79</v>
      </c>
      <c r="G230" s="50" t="s">
        <v>79</v>
      </c>
      <c r="H230" s="28">
        <f>SUM(H231:H245)</f>
        <v>0</v>
      </c>
      <c r="J230" s="41"/>
      <c r="AI230" s="35" t="s">
        <v>4</v>
      </c>
      <c r="AS230" s="28">
        <f>SUM(AJ231:AJ245)</f>
        <v>0</v>
      </c>
      <c r="AT230" s="28">
        <f>SUM(AK231:AK245)</f>
        <v>0</v>
      </c>
      <c r="AU230" s="28">
        <f>SUM(AL231:AL245)</f>
        <v>0</v>
      </c>
    </row>
    <row r="231" spans="1:76">
      <c r="A231" s="1" t="s">
        <v>619</v>
      </c>
      <c r="B231" s="2" t="s">
        <v>620</v>
      </c>
      <c r="C231" s="75" t="s">
        <v>621</v>
      </c>
      <c r="D231" s="70"/>
      <c r="E231" s="2" t="s">
        <v>135</v>
      </c>
      <c r="F231" s="51">
        <v>27.78</v>
      </c>
      <c r="G231" s="52">
        <v>0</v>
      </c>
      <c r="H231" s="51">
        <f>ROUND(F231*G231,2)</f>
        <v>0</v>
      </c>
      <c r="J231" s="41"/>
      <c r="Z231" s="51">
        <f>ROUND(IF(AQ231="5",BJ231,0),2)</f>
        <v>0</v>
      </c>
      <c r="AB231" s="51">
        <f>ROUND(IF(AQ231="1",BH231,0),2)</f>
        <v>0</v>
      </c>
      <c r="AC231" s="51">
        <f>ROUND(IF(AQ231="1",BI231,0),2)</f>
        <v>0</v>
      </c>
      <c r="AD231" s="51">
        <f>ROUND(IF(AQ231="7",BH231,0),2)</f>
        <v>0</v>
      </c>
      <c r="AE231" s="51">
        <f>ROUND(IF(AQ231="7",BI231,0),2)</f>
        <v>0</v>
      </c>
      <c r="AF231" s="51">
        <f>ROUND(IF(AQ231="2",BH231,0),2)</f>
        <v>0</v>
      </c>
      <c r="AG231" s="51">
        <f>ROUND(IF(AQ231="2",BI231,0),2)</f>
        <v>0</v>
      </c>
      <c r="AH231" s="51">
        <f>ROUND(IF(AQ231="0",BJ231,0),2)</f>
        <v>0</v>
      </c>
      <c r="AI231" s="35" t="s">
        <v>4</v>
      </c>
      <c r="AJ231" s="51">
        <f>IF(AN231=0,H231,0)</f>
        <v>0</v>
      </c>
      <c r="AK231" s="51">
        <f>IF(AN231=12,H231,0)</f>
        <v>0</v>
      </c>
      <c r="AL231" s="51">
        <f>IF(AN231=21,H231,0)</f>
        <v>0</v>
      </c>
      <c r="AN231" s="51">
        <v>12</v>
      </c>
      <c r="AO231" s="51">
        <f>G231*0</f>
        <v>0</v>
      </c>
      <c r="AP231" s="51">
        <f>G231*(1-0)</f>
        <v>0</v>
      </c>
      <c r="AQ231" s="53" t="s">
        <v>149</v>
      </c>
      <c r="AV231" s="51">
        <f>ROUND(AW231+AX231,2)</f>
        <v>0</v>
      </c>
      <c r="AW231" s="51">
        <f>ROUND(F231*AO231,2)</f>
        <v>0</v>
      </c>
      <c r="AX231" s="51">
        <f>ROUND(F231*AP231,2)</f>
        <v>0</v>
      </c>
      <c r="AY231" s="53" t="s">
        <v>622</v>
      </c>
      <c r="AZ231" s="53" t="s">
        <v>596</v>
      </c>
      <c r="BA231" s="35" t="s">
        <v>117</v>
      </c>
      <c r="BC231" s="51">
        <f>AW231+AX231</f>
        <v>0</v>
      </c>
      <c r="BD231" s="51">
        <f>G231/(100-BE231)*100</f>
        <v>0</v>
      </c>
      <c r="BE231" s="51">
        <v>0</v>
      </c>
      <c r="BF231" s="51">
        <f>231</f>
        <v>231</v>
      </c>
      <c r="BH231" s="51">
        <f>F231*AO231</f>
        <v>0</v>
      </c>
      <c r="BI231" s="51">
        <f>F231*AP231</f>
        <v>0</v>
      </c>
      <c r="BJ231" s="51">
        <f>F231*G231</f>
        <v>0</v>
      </c>
      <c r="BK231" s="53" t="s">
        <v>118</v>
      </c>
      <c r="BL231" s="51">
        <v>776</v>
      </c>
      <c r="BW231" s="51">
        <v>12</v>
      </c>
      <c r="BX231" s="3" t="s">
        <v>621</v>
      </c>
    </row>
    <row r="232" spans="1:76">
      <c r="A232" s="54"/>
      <c r="C232" s="56" t="s">
        <v>623</v>
      </c>
      <c r="D232" s="57" t="s">
        <v>624</v>
      </c>
      <c r="F232" s="58">
        <v>4.4400000000000004</v>
      </c>
      <c r="J232" s="41"/>
    </row>
    <row r="233" spans="1:76">
      <c r="A233" s="54"/>
      <c r="C233" s="56" t="s">
        <v>625</v>
      </c>
      <c r="D233" s="57" t="s">
        <v>210</v>
      </c>
      <c r="F233" s="58">
        <v>14.44</v>
      </c>
      <c r="J233" s="41"/>
    </row>
    <row r="234" spans="1:76">
      <c r="A234" s="54"/>
      <c r="C234" s="56" t="s">
        <v>626</v>
      </c>
      <c r="D234" s="57" t="s">
        <v>207</v>
      </c>
      <c r="F234" s="58">
        <v>8.9</v>
      </c>
      <c r="J234" s="41"/>
    </row>
    <row r="235" spans="1:76">
      <c r="A235" s="1" t="s">
        <v>627</v>
      </c>
      <c r="B235" s="2" t="s">
        <v>628</v>
      </c>
      <c r="C235" s="75" t="s">
        <v>629</v>
      </c>
      <c r="D235" s="70"/>
      <c r="E235" s="2" t="s">
        <v>125</v>
      </c>
      <c r="F235" s="51">
        <v>23.207999999999998</v>
      </c>
      <c r="G235" s="52">
        <v>0</v>
      </c>
      <c r="H235" s="51">
        <f>ROUND(F235*G235,2)</f>
        <v>0</v>
      </c>
      <c r="J235" s="41"/>
      <c r="Z235" s="51">
        <f>ROUND(IF(AQ235="5",BJ235,0),2)</f>
        <v>0</v>
      </c>
      <c r="AB235" s="51">
        <f>ROUND(IF(AQ235="1",BH235,0),2)</f>
        <v>0</v>
      </c>
      <c r="AC235" s="51">
        <f>ROUND(IF(AQ235="1",BI235,0),2)</f>
        <v>0</v>
      </c>
      <c r="AD235" s="51">
        <f>ROUND(IF(AQ235="7",BH235,0),2)</f>
        <v>0</v>
      </c>
      <c r="AE235" s="51">
        <f>ROUND(IF(AQ235="7",BI235,0),2)</f>
        <v>0</v>
      </c>
      <c r="AF235" s="51">
        <f>ROUND(IF(AQ235="2",BH235,0),2)</f>
        <v>0</v>
      </c>
      <c r="AG235" s="51">
        <f>ROUND(IF(AQ235="2",BI235,0),2)</f>
        <v>0</v>
      </c>
      <c r="AH235" s="51">
        <f>ROUND(IF(AQ235="0",BJ235,0),2)</f>
        <v>0</v>
      </c>
      <c r="AI235" s="35" t="s">
        <v>4</v>
      </c>
      <c r="AJ235" s="51">
        <f>IF(AN235=0,H235,0)</f>
        <v>0</v>
      </c>
      <c r="AK235" s="51">
        <f>IF(AN235=12,H235,0)</f>
        <v>0</v>
      </c>
      <c r="AL235" s="51">
        <f>IF(AN235=21,H235,0)</f>
        <v>0</v>
      </c>
      <c r="AN235" s="51">
        <v>12</v>
      </c>
      <c r="AO235" s="51">
        <f>G235*0</f>
        <v>0</v>
      </c>
      <c r="AP235" s="51">
        <f>G235*(1-0)</f>
        <v>0</v>
      </c>
      <c r="AQ235" s="53" t="s">
        <v>149</v>
      </c>
      <c r="AV235" s="51">
        <f>ROUND(AW235+AX235,2)</f>
        <v>0</v>
      </c>
      <c r="AW235" s="51">
        <f>ROUND(F235*AO235,2)</f>
        <v>0</v>
      </c>
      <c r="AX235" s="51">
        <f>ROUND(F235*AP235,2)</f>
        <v>0</v>
      </c>
      <c r="AY235" s="53" t="s">
        <v>622</v>
      </c>
      <c r="AZ235" s="53" t="s">
        <v>596</v>
      </c>
      <c r="BA235" s="35" t="s">
        <v>117</v>
      </c>
      <c r="BC235" s="51">
        <f>AW235+AX235</f>
        <v>0</v>
      </c>
      <c r="BD235" s="51">
        <f>G235/(100-BE235)*100</f>
        <v>0</v>
      </c>
      <c r="BE235" s="51">
        <v>0</v>
      </c>
      <c r="BF235" s="51">
        <f>235</f>
        <v>235</v>
      </c>
      <c r="BH235" s="51">
        <f>F235*AO235</f>
        <v>0</v>
      </c>
      <c r="BI235" s="51">
        <f>F235*AP235</f>
        <v>0</v>
      </c>
      <c r="BJ235" s="51">
        <f>F235*G235</f>
        <v>0</v>
      </c>
      <c r="BK235" s="53" t="s">
        <v>118</v>
      </c>
      <c r="BL235" s="51">
        <v>776</v>
      </c>
      <c r="BW235" s="51">
        <v>12</v>
      </c>
      <c r="BX235" s="3" t="s">
        <v>629</v>
      </c>
    </row>
    <row r="236" spans="1:76">
      <c r="A236" s="54"/>
      <c r="C236" s="56" t="s">
        <v>630</v>
      </c>
      <c r="D236" s="57" t="s">
        <v>624</v>
      </c>
      <c r="F236" s="58">
        <v>2.9209999999999998</v>
      </c>
      <c r="J236" s="41"/>
    </row>
    <row r="237" spans="1:76">
      <c r="A237" s="54"/>
      <c r="C237" s="56" t="s">
        <v>631</v>
      </c>
      <c r="D237" s="57" t="s">
        <v>210</v>
      </c>
      <c r="F237" s="58">
        <v>14.407</v>
      </c>
      <c r="J237" s="41"/>
    </row>
    <row r="238" spans="1:76">
      <c r="A238" s="54"/>
      <c r="C238" s="56" t="s">
        <v>632</v>
      </c>
      <c r="D238" s="57" t="s">
        <v>207</v>
      </c>
      <c r="F238" s="58">
        <v>5.88</v>
      </c>
      <c r="J238" s="41"/>
    </row>
    <row r="239" spans="1:76">
      <c r="A239" s="1" t="s">
        <v>633</v>
      </c>
      <c r="B239" s="2" t="s">
        <v>634</v>
      </c>
      <c r="C239" s="75" t="s">
        <v>635</v>
      </c>
      <c r="D239" s="70"/>
      <c r="E239" s="2" t="s">
        <v>135</v>
      </c>
      <c r="F239" s="51">
        <v>27.8</v>
      </c>
      <c r="G239" s="52">
        <v>0</v>
      </c>
      <c r="H239" s="51">
        <f>ROUND(F239*G239,2)</f>
        <v>0</v>
      </c>
      <c r="J239" s="41"/>
      <c r="Z239" s="51">
        <f>ROUND(IF(AQ239="5",BJ239,0),2)</f>
        <v>0</v>
      </c>
      <c r="AB239" s="51">
        <f>ROUND(IF(AQ239="1",BH239,0),2)</f>
        <v>0</v>
      </c>
      <c r="AC239" s="51">
        <f>ROUND(IF(AQ239="1",BI239,0),2)</f>
        <v>0</v>
      </c>
      <c r="AD239" s="51">
        <f>ROUND(IF(AQ239="7",BH239,0),2)</f>
        <v>0</v>
      </c>
      <c r="AE239" s="51">
        <f>ROUND(IF(AQ239="7",BI239,0),2)</f>
        <v>0</v>
      </c>
      <c r="AF239" s="51">
        <f>ROUND(IF(AQ239="2",BH239,0),2)</f>
        <v>0</v>
      </c>
      <c r="AG239" s="51">
        <f>ROUND(IF(AQ239="2",BI239,0),2)</f>
        <v>0</v>
      </c>
      <c r="AH239" s="51">
        <f>ROUND(IF(AQ239="0",BJ239,0),2)</f>
        <v>0</v>
      </c>
      <c r="AI239" s="35" t="s">
        <v>4</v>
      </c>
      <c r="AJ239" s="51">
        <f>IF(AN239=0,H239,0)</f>
        <v>0</v>
      </c>
      <c r="AK239" s="51">
        <f>IF(AN239=12,H239,0)</f>
        <v>0</v>
      </c>
      <c r="AL239" s="51">
        <f>IF(AN239=21,H239,0)</f>
        <v>0</v>
      </c>
      <c r="AN239" s="51">
        <v>12</v>
      </c>
      <c r="AO239" s="51">
        <f>G239*0.28429523</f>
        <v>0</v>
      </c>
      <c r="AP239" s="51">
        <f>G239*(1-0.28429523)</f>
        <v>0</v>
      </c>
      <c r="AQ239" s="53" t="s">
        <v>149</v>
      </c>
      <c r="AV239" s="51">
        <f>ROUND(AW239+AX239,2)</f>
        <v>0</v>
      </c>
      <c r="AW239" s="51">
        <f>ROUND(F239*AO239,2)</f>
        <v>0</v>
      </c>
      <c r="AX239" s="51">
        <f>ROUND(F239*AP239,2)</f>
        <v>0</v>
      </c>
      <c r="AY239" s="53" t="s">
        <v>622</v>
      </c>
      <c r="AZ239" s="53" t="s">
        <v>596</v>
      </c>
      <c r="BA239" s="35" t="s">
        <v>117</v>
      </c>
      <c r="BC239" s="51">
        <f>AW239+AX239</f>
        <v>0</v>
      </c>
      <c r="BD239" s="51">
        <f>G239/(100-BE239)*100</f>
        <v>0</v>
      </c>
      <c r="BE239" s="51">
        <v>0</v>
      </c>
      <c r="BF239" s="51">
        <f>239</f>
        <v>239</v>
      </c>
      <c r="BH239" s="51">
        <f>F239*AO239</f>
        <v>0</v>
      </c>
      <c r="BI239" s="51">
        <f>F239*AP239</f>
        <v>0</v>
      </c>
      <c r="BJ239" s="51">
        <f>F239*G239</f>
        <v>0</v>
      </c>
      <c r="BK239" s="53" t="s">
        <v>118</v>
      </c>
      <c r="BL239" s="51">
        <v>776</v>
      </c>
      <c r="BW239" s="51">
        <v>12</v>
      </c>
      <c r="BX239" s="3" t="s">
        <v>635</v>
      </c>
    </row>
    <row r="240" spans="1:76" ht="13.5" customHeight="1">
      <c r="A240" s="54"/>
      <c r="B240" s="55" t="s">
        <v>119</v>
      </c>
      <c r="C240" s="152" t="s">
        <v>636</v>
      </c>
      <c r="D240" s="153"/>
      <c r="E240" s="153"/>
      <c r="F240" s="153"/>
      <c r="G240" s="154"/>
      <c r="H240" s="153"/>
      <c r="I240" s="153"/>
      <c r="J240" s="155"/>
    </row>
    <row r="241" spans="1:76">
      <c r="A241" s="1" t="s">
        <v>637</v>
      </c>
      <c r="B241" s="2" t="s">
        <v>638</v>
      </c>
      <c r="C241" s="75" t="s">
        <v>639</v>
      </c>
      <c r="D241" s="70"/>
      <c r="E241" s="2" t="s">
        <v>125</v>
      </c>
      <c r="F241" s="51">
        <v>23.3</v>
      </c>
      <c r="G241" s="52">
        <v>0</v>
      </c>
      <c r="H241" s="51">
        <f>ROUND(F241*G241,2)</f>
        <v>0</v>
      </c>
      <c r="J241" s="41"/>
      <c r="Z241" s="51">
        <f>ROUND(IF(AQ241="5",BJ241,0),2)</f>
        <v>0</v>
      </c>
      <c r="AB241" s="51">
        <f>ROUND(IF(AQ241="1",BH241,0),2)</f>
        <v>0</v>
      </c>
      <c r="AC241" s="51">
        <f>ROUND(IF(AQ241="1",BI241,0),2)</f>
        <v>0</v>
      </c>
      <c r="AD241" s="51">
        <f>ROUND(IF(AQ241="7",BH241,0),2)</f>
        <v>0</v>
      </c>
      <c r="AE241" s="51">
        <f>ROUND(IF(AQ241="7",BI241,0),2)</f>
        <v>0</v>
      </c>
      <c r="AF241" s="51">
        <f>ROUND(IF(AQ241="2",BH241,0),2)</f>
        <v>0</v>
      </c>
      <c r="AG241" s="51">
        <f>ROUND(IF(AQ241="2",BI241,0),2)</f>
        <v>0</v>
      </c>
      <c r="AH241" s="51">
        <f>ROUND(IF(AQ241="0",BJ241,0),2)</f>
        <v>0</v>
      </c>
      <c r="AI241" s="35" t="s">
        <v>4</v>
      </c>
      <c r="AJ241" s="51">
        <f>IF(AN241=0,H241,0)</f>
        <v>0</v>
      </c>
      <c r="AK241" s="51">
        <f>IF(AN241=12,H241,0)</f>
        <v>0</v>
      </c>
      <c r="AL241" s="51">
        <f>IF(AN241=21,H241,0)</f>
        <v>0</v>
      </c>
      <c r="AN241" s="51">
        <v>12</v>
      </c>
      <c r="AO241" s="51">
        <f>G241*0.15914453</f>
        <v>0</v>
      </c>
      <c r="AP241" s="51">
        <f>G241*(1-0.15914453)</f>
        <v>0</v>
      </c>
      <c r="AQ241" s="53" t="s">
        <v>149</v>
      </c>
      <c r="AV241" s="51">
        <f>ROUND(AW241+AX241,2)</f>
        <v>0</v>
      </c>
      <c r="AW241" s="51">
        <f>ROUND(F241*AO241,2)</f>
        <v>0</v>
      </c>
      <c r="AX241" s="51">
        <f>ROUND(F241*AP241,2)</f>
        <v>0</v>
      </c>
      <c r="AY241" s="53" t="s">
        <v>622</v>
      </c>
      <c r="AZ241" s="53" t="s">
        <v>596</v>
      </c>
      <c r="BA241" s="35" t="s">
        <v>117</v>
      </c>
      <c r="BC241" s="51">
        <f>AW241+AX241</f>
        <v>0</v>
      </c>
      <c r="BD241" s="51">
        <f>G241/(100-BE241)*100</f>
        <v>0</v>
      </c>
      <c r="BE241" s="51">
        <v>0</v>
      </c>
      <c r="BF241" s="51">
        <f>241</f>
        <v>241</v>
      </c>
      <c r="BH241" s="51">
        <f>F241*AO241</f>
        <v>0</v>
      </c>
      <c r="BI241" s="51">
        <f>F241*AP241</f>
        <v>0</v>
      </c>
      <c r="BJ241" s="51">
        <f>F241*G241</f>
        <v>0</v>
      </c>
      <c r="BK241" s="53" t="s">
        <v>118</v>
      </c>
      <c r="BL241" s="51">
        <v>776</v>
      </c>
      <c r="BW241" s="51">
        <v>12</v>
      </c>
      <c r="BX241" s="3" t="s">
        <v>639</v>
      </c>
    </row>
    <row r="242" spans="1:76">
      <c r="A242" s="1" t="s">
        <v>640</v>
      </c>
      <c r="B242" s="2" t="s">
        <v>641</v>
      </c>
      <c r="C242" s="75" t="s">
        <v>642</v>
      </c>
      <c r="D242" s="70"/>
      <c r="E242" s="2" t="s">
        <v>573</v>
      </c>
      <c r="F242" s="51">
        <v>1</v>
      </c>
      <c r="G242" s="52">
        <v>0</v>
      </c>
      <c r="H242" s="51">
        <f>ROUND(F242*G242,2)</f>
        <v>0</v>
      </c>
      <c r="J242" s="41"/>
      <c r="Z242" s="51">
        <f>ROUND(IF(AQ242="5",BJ242,0),2)</f>
        <v>0</v>
      </c>
      <c r="AB242" s="51">
        <f>ROUND(IF(AQ242="1",BH242,0),2)</f>
        <v>0</v>
      </c>
      <c r="AC242" s="51">
        <f>ROUND(IF(AQ242="1",BI242,0),2)</f>
        <v>0</v>
      </c>
      <c r="AD242" s="51">
        <f>ROUND(IF(AQ242="7",BH242,0),2)</f>
        <v>0</v>
      </c>
      <c r="AE242" s="51">
        <f>ROUND(IF(AQ242="7",BI242,0),2)</f>
        <v>0</v>
      </c>
      <c r="AF242" s="51">
        <f>ROUND(IF(AQ242="2",BH242,0),2)</f>
        <v>0</v>
      </c>
      <c r="AG242" s="51">
        <f>ROUND(IF(AQ242="2",BI242,0),2)</f>
        <v>0</v>
      </c>
      <c r="AH242" s="51">
        <f>ROUND(IF(AQ242="0",BJ242,0),2)</f>
        <v>0</v>
      </c>
      <c r="AI242" s="35" t="s">
        <v>4</v>
      </c>
      <c r="AJ242" s="51">
        <f>IF(AN242=0,H242,0)</f>
        <v>0</v>
      </c>
      <c r="AK242" s="51">
        <f>IF(AN242=12,H242,0)</f>
        <v>0</v>
      </c>
      <c r="AL242" s="51">
        <f>IF(AN242=21,H242,0)</f>
        <v>0</v>
      </c>
      <c r="AN242" s="51">
        <v>12</v>
      </c>
      <c r="AO242" s="51">
        <f>G242*0</f>
        <v>0</v>
      </c>
      <c r="AP242" s="51">
        <f>G242*(1-0)</f>
        <v>0</v>
      </c>
      <c r="AQ242" s="53" t="s">
        <v>149</v>
      </c>
      <c r="AV242" s="51">
        <f>ROUND(AW242+AX242,2)</f>
        <v>0</v>
      </c>
      <c r="AW242" s="51">
        <f>ROUND(F242*AO242,2)</f>
        <v>0</v>
      </c>
      <c r="AX242" s="51">
        <f>ROUND(F242*AP242,2)</f>
        <v>0</v>
      </c>
      <c r="AY242" s="53" t="s">
        <v>622</v>
      </c>
      <c r="AZ242" s="53" t="s">
        <v>596</v>
      </c>
      <c r="BA242" s="35" t="s">
        <v>117</v>
      </c>
      <c r="BC242" s="51">
        <f>AW242+AX242</f>
        <v>0</v>
      </c>
      <c r="BD242" s="51">
        <f>G242/(100-BE242)*100</f>
        <v>0</v>
      </c>
      <c r="BE242" s="51">
        <v>0</v>
      </c>
      <c r="BF242" s="51">
        <f>242</f>
        <v>242</v>
      </c>
      <c r="BH242" s="51">
        <f>F242*AO242</f>
        <v>0</v>
      </c>
      <c r="BI242" s="51">
        <f>F242*AP242</f>
        <v>0</v>
      </c>
      <c r="BJ242" s="51">
        <f>F242*G242</f>
        <v>0</v>
      </c>
      <c r="BK242" s="53" t="s">
        <v>118</v>
      </c>
      <c r="BL242" s="51">
        <v>776</v>
      </c>
      <c r="BW242" s="51">
        <v>12</v>
      </c>
      <c r="BX242" s="3" t="s">
        <v>642</v>
      </c>
    </row>
    <row r="243" spans="1:76">
      <c r="A243" s="1" t="s">
        <v>643</v>
      </c>
      <c r="B243" s="2" t="s">
        <v>644</v>
      </c>
      <c r="C243" s="75" t="s">
        <v>645</v>
      </c>
      <c r="D243" s="70"/>
      <c r="E243" s="2" t="s">
        <v>125</v>
      </c>
      <c r="F243" s="51">
        <v>25.63</v>
      </c>
      <c r="G243" s="52">
        <v>0</v>
      </c>
      <c r="H243" s="51">
        <f>ROUND(F243*G243,2)</f>
        <v>0</v>
      </c>
      <c r="J243" s="41"/>
      <c r="Z243" s="51">
        <f>ROUND(IF(AQ243="5",BJ243,0),2)</f>
        <v>0</v>
      </c>
      <c r="AB243" s="51">
        <f>ROUND(IF(AQ243="1",BH243,0),2)</f>
        <v>0</v>
      </c>
      <c r="AC243" s="51">
        <f>ROUND(IF(AQ243="1",BI243,0),2)</f>
        <v>0</v>
      </c>
      <c r="AD243" s="51">
        <f>ROUND(IF(AQ243="7",BH243,0),2)</f>
        <v>0</v>
      </c>
      <c r="AE243" s="51">
        <f>ROUND(IF(AQ243="7",BI243,0),2)</f>
        <v>0</v>
      </c>
      <c r="AF243" s="51">
        <f>ROUND(IF(AQ243="2",BH243,0),2)</f>
        <v>0</v>
      </c>
      <c r="AG243" s="51">
        <f>ROUND(IF(AQ243="2",BI243,0),2)</f>
        <v>0</v>
      </c>
      <c r="AH243" s="51">
        <f>ROUND(IF(AQ243="0",BJ243,0),2)</f>
        <v>0</v>
      </c>
      <c r="AI243" s="35" t="s">
        <v>4</v>
      </c>
      <c r="AJ243" s="51">
        <f>IF(AN243=0,H243,0)</f>
        <v>0</v>
      </c>
      <c r="AK243" s="51">
        <f>IF(AN243=12,H243,0)</f>
        <v>0</v>
      </c>
      <c r="AL243" s="51">
        <f>IF(AN243=21,H243,0)</f>
        <v>0</v>
      </c>
      <c r="AN243" s="51">
        <v>12</v>
      </c>
      <c r="AO243" s="51">
        <f>G243*1</f>
        <v>0</v>
      </c>
      <c r="AP243" s="51">
        <f>G243*(1-1)</f>
        <v>0</v>
      </c>
      <c r="AQ243" s="53" t="s">
        <v>149</v>
      </c>
      <c r="AV243" s="51">
        <f>ROUND(AW243+AX243,2)</f>
        <v>0</v>
      </c>
      <c r="AW243" s="51">
        <f>ROUND(F243*AO243,2)</f>
        <v>0</v>
      </c>
      <c r="AX243" s="51">
        <f>ROUND(F243*AP243,2)</f>
        <v>0</v>
      </c>
      <c r="AY243" s="53" t="s">
        <v>622</v>
      </c>
      <c r="AZ243" s="53" t="s">
        <v>596</v>
      </c>
      <c r="BA243" s="35" t="s">
        <v>117</v>
      </c>
      <c r="BC243" s="51">
        <f>AW243+AX243</f>
        <v>0</v>
      </c>
      <c r="BD243" s="51">
        <f>G243/(100-BE243)*100</f>
        <v>0</v>
      </c>
      <c r="BE243" s="51">
        <v>0</v>
      </c>
      <c r="BF243" s="51">
        <f>243</f>
        <v>243</v>
      </c>
      <c r="BH243" s="51">
        <f>F243*AO243</f>
        <v>0</v>
      </c>
      <c r="BI243" s="51">
        <f>F243*AP243</f>
        <v>0</v>
      </c>
      <c r="BJ243" s="51">
        <f>F243*G243</f>
        <v>0</v>
      </c>
      <c r="BK243" s="53" t="s">
        <v>528</v>
      </c>
      <c r="BL243" s="51">
        <v>776</v>
      </c>
      <c r="BW243" s="51">
        <v>12</v>
      </c>
      <c r="BX243" s="3" t="s">
        <v>645</v>
      </c>
    </row>
    <row r="244" spans="1:76">
      <c r="A244" s="54"/>
      <c r="C244" s="56" t="s">
        <v>646</v>
      </c>
      <c r="D244" s="57" t="s">
        <v>4</v>
      </c>
      <c r="F244" s="58">
        <v>25.63</v>
      </c>
      <c r="J244" s="41"/>
    </row>
    <row r="245" spans="1:76">
      <c r="A245" s="1" t="s">
        <v>647</v>
      </c>
      <c r="B245" s="2" t="s">
        <v>648</v>
      </c>
      <c r="C245" s="75" t="s">
        <v>649</v>
      </c>
      <c r="D245" s="70"/>
      <c r="E245" s="2" t="s">
        <v>308</v>
      </c>
      <c r="F245" s="51">
        <v>0.183</v>
      </c>
      <c r="G245" s="52">
        <v>0</v>
      </c>
      <c r="H245" s="51">
        <f>ROUND(F245*G245,2)</f>
        <v>0</v>
      </c>
      <c r="J245" s="41"/>
      <c r="Z245" s="51">
        <f>ROUND(IF(AQ245="5",BJ245,0),2)</f>
        <v>0</v>
      </c>
      <c r="AB245" s="51">
        <f>ROUND(IF(AQ245="1",BH245,0),2)</f>
        <v>0</v>
      </c>
      <c r="AC245" s="51">
        <f>ROUND(IF(AQ245="1",BI245,0),2)</f>
        <v>0</v>
      </c>
      <c r="AD245" s="51">
        <f>ROUND(IF(AQ245="7",BH245,0),2)</f>
        <v>0</v>
      </c>
      <c r="AE245" s="51">
        <f>ROUND(IF(AQ245="7",BI245,0),2)</f>
        <v>0</v>
      </c>
      <c r="AF245" s="51">
        <f>ROUND(IF(AQ245="2",BH245,0),2)</f>
        <v>0</v>
      </c>
      <c r="AG245" s="51">
        <f>ROUND(IF(AQ245="2",BI245,0),2)</f>
        <v>0</v>
      </c>
      <c r="AH245" s="51">
        <f>ROUND(IF(AQ245="0",BJ245,0),2)</f>
        <v>0</v>
      </c>
      <c r="AI245" s="35" t="s">
        <v>4</v>
      </c>
      <c r="AJ245" s="51">
        <f>IF(AN245=0,H245,0)</f>
        <v>0</v>
      </c>
      <c r="AK245" s="51">
        <f>IF(AN245=12,H245,0)</f>
        <v>0</v>
      </c>
      <c r="AL245" s="51">
        <f>IF(AN245=21,H245,0)</f>
        <v>0</v>
      </c>
      <c r="AN245" s="51">
        <v>12</v>
      </c>
      <c r="AO245" s="51">
        <f>G245*0</f>
        <v>0</v>
      </c>
      <c r="AP245" s="51">
        <f>G245*(1-0)</f>
        <v>0</v>
      </c>
      <c r="AQ245" s="53" t="s">
        <v>138</v>
      </c>
      <c r="AV245" s="51">
        <f>ROUND(AW245+AX245,2)</f>
        <v>0</v>
      </c>
      <c r="AW245" s="51">
        <f>ROUND(F245*AO245,2)</f>
        <v>0</v>
      </c>
      <c r="AX245" s="51">
        <f>ROUND(F245*AP245,2)</f>
        <v>0</v>
      </c>
      <c r="AY245" s="53" t="s">
        <v>622</v>
      </c>
      <c r="AZ245" s="53" t="s">
        <v>596</v>
      </c>
      <c r="BA245" s="35" t="s">
        <v>117</v>
      </c>
      <c r="BC245" s="51">
        <f>AW245+AX245</f>
        <v>0</v>
      </c>
      <c r="BD245" s="51">
        <f>G245/(100-BE245)*100</f>
        <v>0</v>
      </c>
      <c r="BE245" s="51">
        <v>0</v>
      </c>
      <c r="BF245" s="51">
        <f>245</f>
        <v>245</v>
      </c>
      <c r="BH245" s="51">
        <f>F245*AO245</f>
        <v>0</v>
      </c>
      <c r="BI245" s="51">
        <f>F245*AP245</f>
        <v>0</v>
      </c>
      <c r="BJ245" s="51">
        <f>F245*G245</f>
        <v>0</v>
      </c>
      <c r="BK245" s="53" t="s">
        <v>118</v>
      </c>
      <c r="BL245" s="51">
        <v>776</v>
      </c>
      <c r="BW245" s="51">
        <v>12</v>
      </c>
      <c r="BX245" s="3" t="s">
        <v>649</v>
      </c>
    </row>
    <row r="246" spans="1:76">
      <c r="A246" s="47" t="s">
        <v>4</v>
      </c>
      <c r="B246" s="48" t="s">
        <v>650</v>
      </c>
      <c r="C246" s="150" t="s">
        <v>651</v>
      </c>
      <c r="D246" s="151"/>
      <c r="E246" s="49" t="s">
        <v>79</v>
      </c>
      <c r="F246" s="49" t="s">
        <v>79</v>
      </c>
      <c r="G246" s="50" t="s">
        <v>79</v>
      </c>
      <c r="H246" s="28">
        <f>SUM(H247:H249)</f>
        <v>0</v>
      </c>
      <c r="J246" s="41"/>
      <c r="AI246" s="35" t="s">
        <v>4</v>
      </c>
      <c r="AS246" s="28">
        <f>SUM(AJ247:AJ249)</f>
        <v>0</v>
      </c>
      <c r="AT246" s="28">
        <f>SUM(AK247:AK249)</f>
        <v>0</v>
      </c>
      <c r="AU246" s="28">
        <f>SUM(AL247:AL249)</f>
        <v>0</v>
      </c>
    </row>
    <row r="247" spans="1:76">
      <c r="A247" s="1" t="s">
        <v>652</v>
      </c>
      <c r="B247" s="2" t="s">
        <v>653</v>
      </c>
      <c r="C247" s="75" t="s">
        <v>654</v>
      </c>
      <c r="D247" s="70"/>
      <c r="E247" s="2" t="s">
        <v>125</v>
      </c>
      <c r="F247" s="51">
        <v>23.3</v>
      </c>
      <c r="G247" s="52">
        <v>0</v>
      </c>
      <c r="H247" s="51">
        <f>ROUND(F247*G247,2)</f>
        <v>0</v>
      </c>
      <c r="J247" s="41"/>
      <c r="Z247" s="51">
        <f>ROUND(IF(AQ247="5",BJ247,0),2)</f>
        <v>0</v>
      </c>
      <c r="AB247" s="51">
        <f>ROUND(IF(AQ247="1",BH247,0),2)</f>
        <v>0</v>
      </c>
      <c r="AC247" s="51">
        <f>ROUND(IF(AQ247="1",BI247,0),2)</f>
        <v>0</v>
      </c>
      <c r="AD247" s="51">
        <f>ROUND(IF(AQ247="7",BH247,0),2)</f>
        <v>0</v>
      </c>
      <c r="AE247" s="51">
        <f>ROUND(IF(AQ247="7",BI247,0),2)</f>
        <v>0</v>
      </c>
      <c r="AF247" s="51">
        <f>ROUND(IF(AQ247="2",BH247,0),2)</f>
        <v>0</v>
      </c>
      <c r="AG247" s="51">
        <f>ROUND(IF(AQ247="2",BI247,0),2)</f>
        <v>0</v>
      </c>
      <c r="AH247" s="51">
        <f>ROUND(IF(AQ247="0",BJ247,0),2)</f>
        <v>0</v>
      </c>
      <c r="AI247" s="35" t="s">
        <v>4</v>
      </c>
      <c r="AJ247" s="51">
        <f>IF(AN247=0,H247,0)</f>
        <v>0</v>
      </c>
      <c r="AK247" s="51">
        <f>IF(AN247=12,H247,0)</f>
        <v>0</v>
      </c>
      <c r="AL247" s="51">
        <f>IF(AN247=21,H247,0)</f>
        <v>0</v>
      </c>
      <c r="AN247" s="51">
        <v>12</v>
      </c>
      <c r="AO247" s="51">
        <f>G247*0.147011723</f>
        <v>0</v>
      </c>
      <c r="AP247" s="51">
        <f>G247*(1-0.147011723)</f>
        <v>0</v>
      </c>
      <c r="AQ247" s="53" t="s">
        <v>149</v>
      </c>
      <c r="AV247" s="51">
        <f>ROUND(AW247+AX247,2)</f>
        <v>0</v>
      </c>
      <c r="AW247" s="51">
        <f>ROUND(F247*AO247,2)</f>
        <v>0</v>
      </c>
      <c r="AX247" s="51">
        <f>ROUND(F247*AP247,2)</f>
        <v>0</v>
      </c>
      <c r="AY247" s="53" t="s">
        <v>655</v>
      </c>
      <c r="AZ247" s="53" t="s">
        <v>596</v>
      </c>
      <c r="BA247" s="35" t="s">
        <v>117</v>
      </c>
      <c r="BC247" s="51">
        <f>AW247+AX247</f>
        <v>0</v>
      </c>
      <c r="BD247" s="51">
        <f>G247/(100-BE247)*100</f>
        <v>0</v>
      </c>
      <c r="BE247" s="51">
        <v>0</v>
      </c>
      <c r="BF247" s="51">
        <f>247</f>
        <v>247</v>
      </c>
      <c r="BH247" s="51">
        <f>F247*AO247</f>
        <v>0</v>
      </c>
      <c r="BI247" s="51">
        <f>F247*AP247</f>
        <v>0</v>
      </c>
      <c r="BJ247" s="51">
        <f>F247*G247</f>
        <v>0</v>
      </c>
      <c r="BK247" s="53" t="s">
        <v>118</v>
      </c>
      <c r="BL247" s="51">
        <v>777</v>
      </c>
      <c r="BW247" s="51">
        <v>12</v>
      </c>
      <c r="BX247" s="3" t="s">
        <v>654</v>
      </c>
    </row>
    <row r="248" spans="1:76">
      <c r="A248" s="1" t="s">
        <v>656</v>
      </c>
      <c r="B248" s="2" t="s">
        <v>657</v>
      </c>
      <c r="C248" s="75" t="s">
        <v>658</v>
      </c>
      <c r="D248" s="70"/>
      <c r="E248" s="2" t="s">
        <v>125</v>
      </c>
      <c r="F248" s="51">
        <v>23.3</v>
      </c>
      <c r="G248" s="52">
        <v>0</v>
      </c>
      <c r="H248" s="51">
        <f>ROUND(F248*G248,2)</f>
        <v>0</v>
      </c>
      <c r="J248" s="41"/>
      <c r="Z248" s="51">
        <f>ROUND(IF(AQ248="5",BJ248,0),2)</f>
        <v>0</v>
      </c>
      <c r="AB248" s="51">
        <f>ROUND(IF(AQ248="1",BH248,0),2)</f>
        <v>0</v>
      </c>
      <c r="AC248" s="51">
        <f>ROUND(IF(AQ248="1",BI248,0),2)</f>
        <v>0</v>
      </c>
      <c r="AD248" s="51">
        <f>ROUND(IF(AQ248="7",BH248,0),2)</f>
        <v>0</v>
      </c>
      <c r="AE248" s="51">
        <f>ROUND(IF(AQ248="7",BI248,0),2)</f>
        <v>0</v>
      </c>
      <c r="AF248" s="51">
        <f>ROUND(IF(AQ248="2",BH248,0),2)</f>
        <v>0</v>
      </c>
      <c r="AG248" s="51">
        <f>ROUND(IF(AQ248="2",BI248,0),2)</f>
        <v>0</v>
      </c>
      <c r="AH248" s="51">
        <f>ROUND(IF(AQ248="0",BJ248,0),2)</f>
        <v>0</v>
      </c>
      <c r="AI248" s="35" t="s">
        <v>4</v>
      </c>
      <c r="AJ248" s="51">
        <f>IF(AN248=0,H248,0)</f>
        <v>0</v>
      </c>
      <c r="AK248" s="51">
        <f>IF(AN248=12,H248,0)</f>
        <v>0</v>
      </c>
      <c r="AL248" s="51">
        <f>IF(AN248=21,H248,0)</f>
        <v>0</v>
      </c>
      <c r="AN248" s="51">
        <v>12</v>
      </c>
      <c r="AO248" s="51">
        <f>G248*0.198619013</f>
        <v>0</v>
      </c>
      <c r="AP248" s="51">
        <f>G248*(1-0.198619013)</f>
        <v>0</v>
      </c>
      <c r="AQ248" s="53" t="s">
        <v>149</v>
      </c>
      <c r="AV248" s="51">
        <f>ROUND(AW248+AX248,2)</f>
        <v>0</v>
      </c>
      <c r="AW248" s="51">
        <f>ROUND(F248*AO248,2)</f>
        <v>0</v>
      </c>
      <c r="AX248" s="51">
        <f>ROUND(F248*AP248,2)</f>
        <v>0</v>
      </c>
      <c r="AY248" s="53" t="s">
        <v>655</v>
      </c>
      <c r="AZ248" s="53" t="s">
        <v>596</v>
      </c>
      <c r="BA248" s="35" t="s">
        <v>117</v>
      </c>
      <c r="BC248" s="51">
        <f>AW248+AX248</f>
        <v>0</v>
      </c>
      <c r="BD248" s="51">
        <f>G248/(100-BE248)*100</f>
        <v>0</v>
      </c>
      <c r="BE248" s="51">
        <v>0</v>
      </c>
      <c r="BF248" s="51">
        <f>248</f>
        <v>248</v>
      </c>
      <c r="BH248" s="51">
        <f>F248*AO248</f>
        <v>0</v>
      </c>
      <c r="BI248" s="51">
        <f>F248*AP248</f>
        <v>0</v>
      </c>
      <c r="BJ248" s="51">
        <f>F248*G248</f>
        <v>0</v>
      </c>
      <c r="BK248" s="53" t="s">
        <v>118</v>
      </c>
      <c r="BL248" s="51">
        <v>777</v>
      </c>
      <c r="BW248" s="51">
        <v>12</v>
      </c>
      <c r="BX248" s="3" t="s">
        <v>658</v>
      </c>
    </row>
    <row r="249" spans="1:76">
      <c r="A249" s="1" t="s">
        <v>659</v>
      </c>
      <c r="B249" s="2" t="s">
        <v>660</v>
      </c>
      <c r="C249" s="75" t="s">
        <v>661</v>
      </c>
      <c r="D249" s="70"/>
      <c r="E249" s="2" t="s">
        <v>308</v>
      </c>
      <c r="F249" s="51">
        <v>8.1000000000000003E-2</v>
      </c>
      <c r="G249" s="52">
        <v>0</v>
      </c>
      <c r="H249" s="51">
        <f>ROUND(F249*G249,2)</f>
        <v>0</v>
      </c>
      <c r="J249" s="41"/>
      <c r="Z249" s="51">
        <f>ROUND(IF(AQ249="5",BJ249,0),2)</f>
        <v>0</v>
      </c>
      <c r="AB249" s="51">
        <f>ROUND(IF(AQ249="1",BH249,0),2)</f>
        <v>0</v>
      </c>
      <c r="AC249" s="51">
        <f>ROUND(IF(AQ249="1",BI249,0),2)</f>
        <v>0</v>
      </c>
      <c r="AD249" s="51">
        <f>ROUND(IF(AQ249="7",BH249,0),2)</f>
        <v>0</v>
      </c>
      <c r="AE249" s="51">
        <f>ROUND(IF(AQ249="7",BI249,0),2)</f>
        <v>0</v>
      </c>
      <c r="AF249" s="51">
        <f>ROUND(IF(AQ249="2",BH249,0),2)</f>
        <v>0</v>
      </c>
      <c r="AG249" s="51">
        <f>ROUND(IF(AQ249="2",BI249,0),2)</f>
        <v>0</v>
      </c>
      <c r="AH249" s="51">
        <f>ROUND(IF(AQ249="0",BJ249,0),2)</f>
        <v>0</v>
      </c>
      <c r="AI249" s="35" t="s">
        <v>4</v>
      </c>
      <c r="AJ249" s="51">
        <f>IF(AN249=0,H249,0)</f>
        <v>0</v>
      </c>
      <c r="AK249" s="51">
        <f>IF(AN249=12,H249,0)</f>
        <v>0</v>
      </c>
      <c r="AL249" s="51">
        <f>IF(AN249=21,H249,0)</f>
        <v>0</v>
      </c>
      <c r="AN249" s="51">
        <v>12</v>
      </c>
      <c r="AO249" s="51">
        <f>G249*0</f>
        <v>0</v>
      </c>
      <c r="AP249" s="51">
        <f>G249*(1-0)</f>
        <v>0</v>
      </c>
      <c r="AQ249" s="53" t="s">
        <v>138</v>
      </c>
      <c r="AV249" s="51">
        <f>ROUND(AW249+AX249,2)</f>
        <v>0</v>
      </c>
      <c r="AW249" s="51">
        <f>ROUND(F249*AO249,2)</f>
        <v>0</v>
      </c>
      <c r="AX249" s="51">
        <f>ROUND(F249*AP249,2)</f>
        <v>0</v>
      </c>
      <c r="AY249" s="53" t="s">
        <v>655</v>
      </c>
      <c r="AZ249" s="53" t="s">
        <v>596</v>
      </c>
      <c r="BA249" s="35" t="s">
        <v>117</v>
      </c>
      <c r="BC249" s="51">
        <f>AW249+AX249</f>
        <v>0</v>
      </c>
      <c r="BD249" s="51">
        <f>G249/(100-BE249)*100</f>
        <v>0</v>
      </c>
      <c r="BE249" s="51">
        <v>0</v>
      </c>
      <c r="BF249" s="51">
        <f>249</f>
        <v>249</v>
      </c>
      <c r="BH249" s="51">
        <f>F249*AO249</f>
        <v>0</v>
      </c>
      <c r="BI249" s="51">
        <f>F249*AP249</f>
        <v>0</v>
      </c>
      <c r="BJ249" s="51">
        <f>F249*G249</f>
        <v>0</v>
      </c>
      <c r="BK249" s="53" t="s">
        <v>118</v>
      </c>
      <c r="BL249" s="51">
        <v>777</v>
      </c>
      <c r="BW249" s="51">
        <v>12</v>
      </c>
      <c r="BX249" s="3" t="s">
        <v>661</v>
      </c>
    </row>
    <row r="250" spans="1:76">
      <c r="A250" s="47" t="s">
        <v>4</v>
      </c>
      <c r="B250" s="48" t="s">
        <v>662</v>
      </c>
      <c r="C250" s="150" t="s">
        <v>663</v>
      </c>
      <c r="D250" s="151"/>
      <c r="E250" s="49" t="s">
        <v>79</v>
      </c>
      <c r="F250" s="49" t="s">
        <v>79</v>
      </c>
      <c r="G250" s="50" t="s">
        <v>79</v>
      </c>
      <c r="H250" s="28">
        <f>SUM(H251:H261)</f>
        <v>0</v>
      </c>
      <c r="J250" s="41"/>
      <c r="AI250" s="35" t="s">
        <v>4</v>
      </c>
      <c r="AS250" s="28">
        <f>SUM(AJ251:AJ261)</f>
        <v>0</v>
      </c>
      <c r="AT250" s="28">
        <f>SUM(AK251:AK261)</f>
        <v>0</v>
      </c>
      <c r="AU250" s="28">
        <f>SUM(AL251:AL261)</f>
        <v>0</v>
      </c>
    </row>
    <row r="251" spans="1:76">
      <c r="A251" s="1" t="s">
        <v>664</v>
      </c>
      <c r="B251" s="2" t="s">
        <v>665</v>
      </c>
      <c r="C251" s="75" t="s">
        <v>666</v>
      </c>
      <c r="D251" s="70"/>
      <c r="E251" s="2" t="s">
        <v>125</v>
      </c>
      <c r="F251" s="51">
        <v>13.994999999999999</v>
      </c>
      <c r="G251" s="52">
        <v>0</v>
      </c>
      <c r="H251" s="51">
        <f>ROUND(F251*G251,2)</f>
        <v>0</v>
      </c>
      <c r="J251" s="41"/>
      <c r="Z251" s="51">
        <f>ROUND(IF(AQ251="5",BJ251,0),2)</f>
        <v>0</v>
      </c>
      <c r="AB251" s="51">
        <f>ROUND(IF(AQ251="1",BH251,0),2)</f>
        <v>0</v>
      </c>
      <c r="AC251" s="51">
        <f>ROUND(IF(AQ251="1",BI251,0),2)</f>
        <v>0</v>
      </c>
      <c r="AD251" s="51">
        <f>ROUND(IF(AQ251="7",BH251,0),2)</f>
        <v>0</v>
      </c>
      <c r="AE251" s="51">
        <f>ROUND(IF(AQ251="7",BI251,0),2)</f>
        <v>0</v>
      </c>
      <c r="AF251" s="51">
        <f>ROUND(IF(AQ251="2",BH251,0),2)</f>
        <v>0</v>
      </c>
      <c r="AG251" s="51">
        <f>ROUND(IF(AQ251="2",BI251,0),2)</f>
        <v>0</v>
      </c>
      <c r="AH251" s="51">
        <f>ROUND(IF(AQ251="0",BJ251,0),2)</f>
        <v>0</v>
      </c>
      <c r="AI251" s="35" t="s">
        <v>4</v>
      </c>
      <c r="AJ251" s="51">
        <f>IF(AN251=0,H251,0)</f>
        <v>0</v>
      </c>
      <c r="AK251" s="51">
        <f>IF(AN251=12,H251,0)</f>
        <v>0</v>
      </c>
      <c r="AL251" s="51">
        <f>IF(AN251=21,H251,0)</f>
        <v>0</v>
      </c>
      <c r="AN251" s="51">
        <v>12</v>
      </c>
      <c r="AO251" s="51">
        <f>G251*0.152337189</f>
        <v>0</v>
      </c>
      <c r="AP251" s="51">
        <f>G251*(1-0.152337189)</f>
        <v>0</v>
      </c>
      <c r="AQ251" s="53" t="s">
        <v>149</v>
      </c>
      <c r="AV251" s="51">
        <f>ROUND(AW251+AX251,2)</f>
        <v>0</v>
      </c>
      <c r="AW251" s="51">
        <f>ROUND(F251*AO251,2)</f>
        <v>0</v>
      </c>
      <c r="AX251" s="51">
        <f>ROUND(F251*AP251,2)</f>
        <v>0</v>
      </c>
      <c r="AY251" s="53" t="s">
        <v>667</v>
      </c>
      <c r="AZ251" s="53" t="s">
        <v>668</v>
      </c>
      <c r="BA251" s="35" t="s">
        <v>117</v>
      </c>
      <c r="BC251" s="51">
        <f>AW251+AX251</f>
        <v>0</v>
      </c>
      <c r="BD251" s="51">
        <f>G251/(100-BE251)*100</f>
        <v>0</v>
      </c>
      <c r="BE251" s="51">
        <v>0</v>
      </c>
      <c r="BF251" s="51">
        <f>251</f>
        <v>251</v>
      </c>
      <c r="BH251" s="51">
        <f>F251*AO251</f>
        <v>0</v>
      </c>
      <c r="BI251" s="51">
        <f>F251*AP251</f>
        <v>0</v>
      </c>
      <c r="BJ251" s="51">
        <f>F251*G251</f>
        <v>0</v>
      </c>
      <c r="BK251" s="53" t="s">
        <v>118</v>
      </c>
      <c r="BL251" s="51">
        <v>781</v>
      </c>
      <c r="BW251" s="51">
        <v>12</v>
      </c>
      <c r="BX251" s="3" t="s">
        <v>666</v>
      </c>
    </row>
    <row r="252" spans="1:76">
      <c r="A252" s="54"/>
      <c r="C252" s="56" t="s">
        <v>295</v>
      </c>
      <c r="D252" s="57" t="s">
        <v>185</v>
      </c>
      <c r="F252" s="58">
        <v>11.21</v>
      </c>
      <c r="J252" s="41"/>
    </row>
    <row r="253" spans="1:76">
      <c r="A253" s="54"/>
      <c r="C253" s="56" t="s">
        <v>162</v>
      </c>
      <c r="D253" s="57" t="s">
        <v>610</v>
      </c>
      <c r="F253" s="58">
        <v>2.2050000000000001</v>
      </c>
      <c r="J253" s="41"/>
    </row>
    <row r="254" spans="1:76">
      <c r="A254" s="54"/>
      <c r="C254" s="56" t="s">
        <v>164</v>
      </c>
      <c r="D254" s="57" t="s">
        <v>4</v>
      </c>
      <c r="F254" s="58">
        <v>0.57999999999999996</v>
      </c>
      <c r="J254" s="41"/>
    </row>
    <row r="255" spans="1:76">
      <c r="A255" s="1" t="s">
        <v>669</v>
      </c>
      <c r="B255" s="2" t="s">
        <v>670</v>
      </c>
      <c r="C255" s="75" t="s">
        <v>671</v>
      </c>
      <c r="D255" s="70"/>
      <c r="E255" s="2" t="s">
        <v>125</v>
      </c>
      <c r="F255" s="51">
        <v>2.7850000000000001</v>
      </c>
      <c r="G255" s="52">
        <v>0</v>
      </c>
      <c r="H255" s="51">
        <f>ROUND(F255*G255,2)</f>
        <v>0</v>
      </c>
      <c r="J255" s="41"/>
      <c r="Z255" s="51">
        <f>ROUND(IF(AQ255="5",BJ255,0),2)</f>
        <v>0</v>
      </c>
      <c r="AB255" s="51">
        <f>ROUND(IF(AQ255="1",BH255,0),2)</f>
        <v>0</v>
      </c>
      <c r="AC255" s="51">
        <f>ROUND(IF(AQ255="1",BI255,0),2)</f>
        <v>0</v>
      </c>
      <c r="AD255" s="51">
        <f>ROUND(IF(AQ255="7",BH255,0),2)</f>
        <v>0</v>
      </c>
      <c r="AE255" s="51">
        <f>ROUND(IF(AQ255="7",BI255,0),2)</f>
        <v>0</v>
      </c>
      <c r="AF255" s="51">
        <f>ROUND(IF(AQ255="2",BH255,0),2)</f>
        <v>0</v>
      </c>
      <c r="AG255" s="51">
        <f>ROUND(IF(AQ255="2",BI255,0),2)</f>
        <v>0</v>
      </c>
      <c r="AH255" s="51">
        <f>ROUND(IF(AQ255="0",BJ255,0),2)</f>
        <v>0</v>
      </c>
      <c r="AI255" s="35" t="s">
        <v>4</v>
      </c>
      <c r="AJ255" s="51">
        <f>IF(AN255=0,H255,0)</f>
        <v>0</v>
      </c>
      <c r="AK255" s="51">
        <f>IF(AN255=12,H255,0)</f>
        <v>0</v>
      </c>
      <c r="AL255" s="51">
        <f>IF(AN255=21,H255,0)</f>
        <v>0</v>
      </c>
      <c r="AN255" s="51">
        <v>12</v>
      </c>
      <c r="AO255" s="51">
        <f>G255*0</f>
        <v>0</v>
      </c>
      <c r="AP255" s="51">
        <f>G255*(1-0)</f>
        <v>0</v>
      </c>
      <c r="AQ255" s="53" t="s">
        <v>149</v>
      </c>
      <c r="AV255" s="51">
        <f>ROUND(AW255+AX255,2)</f>
        <v>0</v>
      </c>
      <c r="AW255" s="51">
        <f>ROUND(F255*AO255,2)</f>
        <v>0</v>
      </c>
      <c r="AX255" s="51">
        <f>ROUND(F255*AP255,2)</f>
        <v>0</v>
      </c>
      <c r="AY255" s="53" t="s">
        <v>667</v>
      </c>
      <c r="AZ255" s="53" t="s">
        <v>668</v>
      </c>
      <c r="BA255" s="35" t="s">
        <v>117</v>
      </c>
      <c r="BC255" s="51">
        <f>AW255+AX255</f>
        <v>0</v>
      </c>
      <c r="BD255" s="51">
        <f>G255/(100-BE255)*100</f>
        <v>0</v>
      </c>
      <c r="BE255" s="51">
        <v>0</v>
      </c>
      <c r="BF255" s="51">
        <f>255</f>
        <v>255</v>
      </c>
      <c r="BH255" s="51">
        <f>F255*AO255</f>
        <v>0</v>
      </c>
      <c r="BI255" s="51">
        <f>F255*AP255</f>
        <v>0</v>
      </c>
      <c r="BJ255" s="51">
        <f>F255*G255</f>
        <v>0</v>
      </c>
      <c r="BK255" s="53" t="s">
        <v>118</v>
      </c>
      <c r="BL255" s="51">
        <v>781</v>
      </c>
      <c r="BW255" s="51">
        <v>12</v>
      </c>
      <c r="BX255" s="3" t="s">
        <v>671</v>
      </c>
    </row>
    <row r="256" spans="1:76">
      <c r="A256" s="1" t="s">
        <v>672</v>
      </c>
      <c r="B256" s="2" t="s">
        <v>673</v>
      </c>
      <c r="C256" s="75" t="s">
        <v>674</v>
      </c>
      <c r="D256" s="70"/>
      <c r="E256" s="2" t="s">
        <v>135</v>
      </c>
      <c r="F256" s="51">
        <v>7.5</v>
      </c>
      <c r="G256" s="52">
        <v>0</v>
      </c>
      <c r="H256" s="51">
        <f>ROUND(F256*G256,2)</f>
        <v>0</v>
      </c>
      <c r="J256" s="41"/>
      <c r="Z256" s="51">
        <f>ROUND(IF(AQ256="5",BJ256,0),2)</f>
        <v>0</v>
      </c>
      <c r="AB256" s="51">
        <f>ROUND(IF(AQ256="1",BH256,0),2)</f>
        <v>0</v>
      </c>
      <c r="AC256" s="51">
        <f>ROUND(IF(AQ256="1",BI256,0),2)</f>
        <v>0</v>
      </c>
      <c r="AD256" s="51">
        <f>ROUND(IF(AQ256="7",BH256,0),2)</f>
        <v>0</v>
      </c>
      <c r="AE256" s="51">
        <f>ROUND(IF(AQ256="7",BI256,0),2)</f>
        <v>0</v>
      </c>
      <c r="AF256" s="51">
        <f>ROUND(IF(AQ256="2",BH256,0),2)</f>
        <v>0</v>
      </c>
      <c r="AG256" s="51">
        <f>ROUND(IF(AQ256="2",BI256,0),2)</f>
        <v>0</v>
      </c>
      <c r="AH256" s="51">
        <f>ROUND(IF(AQ256="0",BJ256,0),2)</f>
        <v>0</v>
      </c>
      <c r="AI256" s="35" t="s">
        <v>4</v>
      </c>
      <c r="AJ256" s="51">
        <f>IF(AN256=0,H256,0)</f>
        <v>0</v>
      </c>
      <c r="AK256" s="51">
        <f>IF(AN256=12,H256,0)</f>
        <v>0</v>
      </c>
      <c r="AL256" s="51">
        <f>IF(AN256=21,H256,0)</f>
        <v>0</v>
      </c>
      <c r="AN256" s="51">
        <v>12</v>
      </c>
      <c r="AO256" s="51">
        <f>G256*0.044221975</f>
        <v>0</v>
      </c>
      <c r="AP256" s="51">
        <f>G256*(1-0.044221975)</f>
        <v>0</v>
      </c>
      <c r="AQ256" s="53" t="s">
        <v>149</v>
      </c>
      <c r="AV256" s="51">
        <f>ROUND(AW256+AX256,2)</f>
        <v>0</v>
      </c>
      <c r="AW256" s="51">
        <f>ROUND(F256*AO256,2)</f>
        <v>0</v>
      </c>
      <c r="AX256" s="51">
        <f>ROUND(F256*AP256,2)</f>
        <v>0</v>
      </c>
      <c r="AY256" s="53" t="s">
        <v>667</v>
      </c>
      <c r="AZ256" s="53" t="s">
        <v>668</v>
      </c>
      <c r="BA256" s="35" t="s">
        <v>117</v>
      </c>
      <c r="BC256" s="51">
        <f>AW256+AX256</f>
        <v>0</v>
      </c>
      <c r="BD256" s="51">
        <f>G256/(100-BE256)*100</f>
        <v>0</v>
      </c>
      <c r="BE256" s="51">
        <v>0</v>
      </c>
      <c r="BF256" s="51">
        <f>256</f>
        <v>256</v>
      </c>
      <c r="BH256" s="51">
        <f>F256*AO256</f>
        <v>0</v>
      </c>
      <c r="BI256" s="51">
        <f>F256*AP256</f>
        <v>0</v>
      </c>
      <c r="BJ256" s="51">
        <f>F256*G256</f>
        <v>0</v>
      </c>
      <c r="BK256" s="53" t="s">
        <v>118</v>
      </c>
      <c r="BL256" s="51">
        <v>781</v>
      </c>
      <c r="BW256" s="51">
        <v>12</v>
      </c>
      <c r="BX256" s="3" t="s">
        <v>674</v>
      </c>
    </row>
    <row r="257" spans="1:76">
      <c r="A257" s="54"/>
      <c r="C257" s="56" t="s">
        <v>675</v>
      </c>
      <c r="D257" s="57" t="s">
        <v>4</v>
      </c>
      <c r="F257" s="58">
        <v>7.5</v>
      </c>
      <c r="J257" s="41"/>
    </row>
    <row r="258" spans="1:76">
      <c r="A258" s="1" t="s">
        <v>676</v>
      </c>
      <c r="B258" s="2" t="s">
        <v>677</v>
      </c>
      <c r="C258" s="75" t="s">
        <v>678</v>
      </c>
      <c r="D258" s="70"/>
      <c r="E258" s="2" t="s">
        <v>114</v>
      </c>
      <c r="F258" s="51">
        <v>8</v>
      </c>
      <c r="G258" s="52">
        <v>0</v>
      </c>
      <c r="H258" s="51">
        <f>ROUND(F258*G258,2)</f>
        <v>0</v>
      </c>
      <c r="J258" s="41"/>
      <c r="Z258" s="51">
        <f>ROUND(IF(AQ258="5",BJ258,0),2)</f>
        <v>0</v>
      </c>
      <c r="AB258" s="51">
        <f>ROUND(IF(AQ258="1",BH258,0),2)</f>
        <v>0</v>
      </c>
      <c r="AC258" s="51">
        <f>ROUND(IF(AQ258="1",BI258,0),2)</f>
        <v>0</v>
      </c>
      <c r="AD258" s="51">
        <f>ROUND(IF(AQ258="7",BH258,0),2)</f>
        <v>0</v>
      </c>
      <c r="AE258" s="51">
        <f>ROUND(IF(AQ258="7",BI258,0),2)</f>
        <v>0</v>
      </c>
      <c r="AF258" s="51">
        <f>ROUND(IF(AQ258="2",BH258,0),2)</f>
        <v>0</v>
      </c>
      <c r="AG258" s="51">
        <f>ROUND(IF(AQ258="2",BI258,0),2)</f>
        <v>0</v>
      </c>
      <c r="AH258" s="51">
        <f>ROUND(IF(AQ258="0",BJ258,0),2)</f>
        <v>0</v>
      </c>
      <c r="AI258" s="35" t="s">
        <v>4</v>
      </c>
      <c r="AJ258" s="51">
        <f>IF(AN258=0,H258,0)</f>
        <v>0</v>
      </c>
      <c r="AK258" s="51">
        <f>IF(AN258=12,H258,0)</f>
        <v>0</v>
      </c>
      <c r="AL258" s="51">
        <f>IF(AN258=21,H258,0)</f>
        <v>0</v>
      </c>
      <c r="AN258" s="51">
        <v>12</v>
      </c>
      <c r="AO258" s="51">
        <f>G258*0.051656442</f>
        <v>0</v>
      </c>
      <c r="AP258" s="51">
        <f>G258*(1-0.051656442)</f>
        <v>0</v>
      </c>
      <c r="AQ258" s="53" t="s">
        <v>149</v>
      </c>
      <c r="AV258" s="51">
        <f>ROUND(AW258+AX258,2)</f>
        <v>0</v>
      </c>
      <c r="AW258" s="51">
        <f>ROUND(F258*AO258,2)</f>
        <v>0</v>
      </c>
      <c r="AX258" s="51">
        <f>ROUND(F258*AP258,2)</f>
        <v>0</v>
      </c>
      <c r="AY258" s="53" t="s">
        <v>667</v>
      </c>
      <c r="AZ258" s="53" t="s">
        <v>668</v>
      </c>
      <c r="BA258" s="35" t="s">
        <v>117</v>
      </c>
      <c r="BC258" s="51">
        <f>AW258+AX258</f>
        <v>0</v>
      </c>
      <c r="BD258" s="51">
        <f>G258/(100-BE258)*100</f>
        <v>0</v>
      </c>
      <c r="BE258" s="51">
        <v>0</v>
      </c>
      <c r="BF258" s="51">
        <f>258</f>
        <v>258</v>
      </c>
      <c r="BH258" s="51">
        <f>F258*AO258</f>
        <v>0</v>
      </c>
      <c r="BI258" s="51">
        <f>F258*AP258</f>
        <v>0</v>
      </c>
      <c r="BJ258" s="51">
        <f>F258*G258</f>
        <v>0</v>
      </c>
      <c r="BK258" s="53" t="s">
        <v>118</v>
      </c>
      <c r="BL258" s="51">
        <v>781</v>
      </c>
      <c r="BW258" s="51">
        <v>12</v>
      </c>
      <c r="BX258" s="3" t="s">
        <v>678</v>
      </c>
    </row>
    <row r="259" spans="1:76">
      <c r="A259" s="1" t="s">
        <v>679</v>
      </c>
      <c r="B259" s="2" t="s">
        <v>680</v>
      </c>
      <c r="C259" s="75" t="s">
        <v>681</v>
      </c>
      <c r="D259" s="70"/>
      <c r="E259" s="2" t="s">
        <v>125</v>
      </c>
      <c r="F259" s="51">
        <v>15.395</v>
      </c>
      <c r="G259" s="52">
        <v>0</v>
      </c>
      <c r="H259" s="51">
        <f>ROUND(F259*G259,2)</f>
        <v>0</v>
      </c>
      <c r="J259" s="41"/>
      <c r="Z259" s="51">
        <f>ROUND(IF(AQ259="5",BJ259,0),2)</f>
        <v>0</v>
      </c>
      <c r="AB259" s="51">
        <f>ROUND(IF(AQ259="1",BH259,0),2)</f>
        <v>0</v>
      </c>
      <c r="AC259" s="51">
        <f>ROUND(IF(AQ259="1",BI259,0),2)</f>
        <v>0</v>
      </c>
      <c r="AD259" s="51">
        <f>ROUND(IF(AQ259="7",BH259,0),2)</f>
        <v>0</v>
      </c>
      <c r="AE259" s="51">
        <f>ROUND(IF(AQ259="7",BI259,0),2)</f>
        <v>0</v>
      </c>
      <c r="AF259" s="51">
        <f>ROUND(IF(AQ259="2",BH259,0),2)</f>
        <v>0</v>
      </c>
      <c r="AG259" s="51">
        <f>ROUND(IF(AQ259="2",BI259,0),2)</f>
        <v>0</v>
      </c>
      <c r="AH259" s="51">
        <f>ROUND(IF(AQ259="0",BJ259,0),2)</f>
        <v>0</v>
      </c>
      <c r="AI259" s="35" t="s">
        <v>4</v>
      </c>
      <c r="AJ259" s="51">
        <f>IF(AN259=0,H259,0)</f>
        <v>0</v>
      </c>
      <c r="AK259" s="51">
        <f>IF(AN259=12,H259,0)</f>
        <v>0</v>
      </c>
      <c r="AL259" s="51">
        <f>IF(AN259=21,H259,0)</f>
        <v>0</v>
      </c>
      <c r="AN259" s="51">
        <v>12</v>
      </c>
      <c r="AO259" s="51">
        <f>G259*1</f>
        <v>0</v>
      </c>
      <c r="AP259" s="51">
        <f>G259*(1-1)</f>
        <v>0</v>
      </c>
      <c r="AQ259" s="53" t="s">
        <v>149</v>
      </c>
      <c r="AV259" s="51">
        <f>ROUND(AW259+AX259,2)</f>
        <v>0</v>
      </c>
      <c r="AW259" s="51">
        <f>ROUND(F259*AO259,2)</f>
        <v>0</v>
      </c>
      <c r="AX259" s="51">
        <f>ROUND(F259*AP259,2)</f>
        <v>0</v>
      </c>
      <c r="AY259" s="53" t="s">
        <v>667</v>
      </c>
      <c r="AZ259" s="53" t="s">
        <v>668</v>
      </c>
      <c r="BA259" s="35" t="s">
        <v>117</v>
      </c>
      <c r="BC259" s="51">
        <f>AW259+AX259</f>
        <v>0</v>
      </c>
      <c r="BD259" s="51">
        <f>G259/(100-BE259)*100</f>
        <v>0</v>
      </c>
      <c r="BE259" s="51">
        <v>0</v>
      </c>
      <c r="BF259" s="51">
        <f>259</f>
        <v>259</v>
      </c>
      <c r="BH259" s="51">
        <f>F259*AO259</f>
        <v>0</v>
      </c>
      <c r="BI259" s="51">
        <f>F259*AP259</f>
        <v>0</v>
      </c>
      <c r="BJ259" s="51">
        <f>F259*G259</f>
        <v>0</v>
      </c>
      <c r="BK259" s="53" t="s">
        <v>528</v>
      </c>
      <c r="BL259" s="51">
        <v>781</v>
      </c>
      <c r="BW259" s="51">
        <v>12</v>
      </c>
      <c r="BX259" s="3" t="s">
        <v>681</v>
      </c>
    </row>
    <row r="260" spans="1:76">
      <c r="A260" s="54"/>
      <c r="C260" s="56" t="s">
        <v>682</v>
      </c>
      <c r="D260" s="57" t="s">
        <v>4</v>
      </c>
      <c r="F260" s="58">
        <v>15.395</v>
      </c>
      <c r="J260" s="41"/>
    </row>
    <row r="261" spans="1:76">
      <c r="A261" s="1" t="s">
        <v>683</v>
      </c>
      <c r="B261" s="2" t="s">
        <v>684</v>
      </c>
      <c r="C261" s="75" t="s">
        <v>685</v>
      </c>
      <c r="D261" s="70"/>
      <c r="E261" s="2" t="s">
        <v>308</v>
      </c>
      <c r="F261" s="51">
        <v>0.249</v>
      </c>
      <c r="G261" s="52">
        <v>0</v>
      </c>
      <c r="H261" s="51">
        <f>ROUND(F261*G261,2)</f>
        <v>0</v>
      </c>
      <c r="J261" s="41"/>
      <c r="Z261" s="51">
        <f>ROUND(IF(AQ261="5",BJ261,0),2)</f>
        <v>0</v>
      </c>
      <c r="AB261" s="51">
        <f>ROUND(IF(AQ261="1",BH261,0),2)</f>
        <v>0</v>
      </c>
      <c r="AC261" s="51">
        <f>ROUND(IF(AQ261="1",BI261,0),2)</f>
        <v>0</v>
      </c>
      <c r="AD261" s="51">
        <f>ROUND(IF(AQ261="7",BH261,0),2)</f>
        <v>0</v>
      </c>
      <c r="AE261" s="51">
        <f>ROUND(IF(AQ261="7",BI261,0),2)</f>
        <v>0</v>
      </c>
      <c r="AF261" s="51">
        <f>ROUND(IF(AQ261="2",BH261,0),2)</f>
        <v>0</v>
      </c>
      <c r="AG261" s="51">
        <f>ROUND(IF(AQ261="2",BI261,0),2)</f>
        <v>0</v>
      </c>
      <c r="AH261" s="51">
        <f>ROUND(IF(AQ261="0",BJ261,0),2)</f>
        <v>0</v>
      </c>
      <c r="AI261" s="35" t="s">
        <v>4</v>
      </c>
      <c r="AJ261" s="51">
        <f>IF(AN261=0,H261,0)</f>
        <v>0</v>
      </c>
      <c r="AK261" s="51">
        <f>IF(AN261=12,H261,0)</f>
        <v>0</v>
      </c>
      <c r="AL261" s="51">
        <f>IF(AN261=21,H261,0)</f>
        <v>0</v>
      </c>
      <c r="AN261" s="51">
        <v>12</v>
      </c>
      <c r="AO261" s="51">
        <f>G261*0</f>
        <v>0</v>
      </c>
      <c r="AP261" s="51">
        <f>G261*(1-0)</f>
        <v>0</v>
      </c>
      <c r="AQ261" s="53" t="s">
        <v>138</v>
      </c>
      <c r="AV261" s="51">
        <f>ROUND(AW261+AX261,2)</f>
        <v>0</v>
      </c>
      <c r="AW261" s="51">
        <f>ROUND(F261*AO261,2)</f>
        <v>0</v>
      </c>
      <c r="AX261" s="51">
        <f>ROUND(F261*AP261,2)</f>
        <v>0</v>
      </c>
      <c r="AY261" s="53" t="s">
        <v>667</v>
      </c>
      <c r="AZ261" s="53" t="s">
        <v>668</v>
      </c>
      <c r="BA261" s="35" t="s">
        <v>117</v>
      </c>
      <c r="BC261" s="51">
        <f>AW261+AX261</f>
        <v>0</v>
      </c>
      <c r="BD261" s="51">
        <f>G261/(100-BE261)*100</f>
        <v>0</v>
      </c>
      <c r="BE261" s="51">
        <v>0</v>
      </c>
      <c r="BF261" s="51">
        <f>261</f>
        <v>261</v>
      </c>
      <c r="BH261" s="51">
        <f>F261*AO261</f>
        <v>0</v>
      </c>
      <c r="BI261" s="51">
        <f>F261*AP261</f>
        <v>0</v>
      </c>
      <c r="BJ261" s="51">
        <f>F261*G261</f>
        <v>0</v>
      </c>
      <c r="BK261" s="53" t="s">
        <v>118</v>
      </c>
      <c r="BL261" s="51">
        <v>781</v>
      </c>
      <c r="BW261" s="51">
        <v>12</v>
      </c>
      <c r="BX261" s="3" t="s">
        <v>685</v>
      </c>
    </row>
    <row r="262" spans="1:76">
      <c r="A262" s="47" t="s">
        <v>4</v>
      </c>
      <c r="B262" s="48" t="s">
        <v>686</v>
      </c>
      <c r="C262" s="150" t="s">
        <v>687</v>
      </c>
      <c r="D262" s="151"/>
      <c r="E262" s="49" t="s">
        <v>79</v>
      </c>
      <c r="F262" s="49" t="s">
        <v>79</v>
      </c>
      <c r="G262" s="50" t="s">
        <v>79</v>
      </c>
      <c r="H262" s="28">
        <f>SUM(H263:H263)</f>
        <v>0</v>
      </c>
      <c r="J262" s="41"/>
      <c r="AI262" s="35" t="s">
        <v>4</v>
      </c>
      <c r="AS262" s="28">
        <f>SUM(AJ263:AJ263)</f>
        <v>0</v>
      </c>
      <c r="AT262" s="28">
        <f>SUM(AK263:AK263)</f>
        <v>0</v>
      </c>
      <c r="AU262" s="28">
        <f>SUM(AL263:AL263)</f>
        <v>0</v>
      </c>
    </row>
    <row r="263" spans="1:76">
      <c r="A263" s="1" t="s">
        <v>688</v>
      </c>
      <c r="B263" s="2" t="s">
        <v>689</v>
      </c>
      <c r="C263" s="75" t="s">
        <v>690</v>
      </c>
      <c r="D263" s="70"/>
      <c r="E263" s="2" t="s">
        <v>573</v>
      </c>
      <c r="F263" s="51">
        <v>4</v>
      </c>
      <c r="G263" s="52">
        <v>0</v>
      </c>
      <c r="H263" s="51">
        <f>ROUND(F263*G263,2)</f>
        <v>0</v>
      </c>
      <c r="J263" s="41"/>
      <c r="Z263" s="51">
        <f>ROUND(IF(AQ263="5",BJ263,0),2)</f>
        <v>0</v>
      </c>
      <c r="AB263" s="51">
        <f>ROUND(IF(AQ263="1",BH263,0),2)</f>
        <v>0</v>
      </c>
      <c r="AC263" s="51">
        <f>ROUND(IF(AQ263="1",BI263,0),2)</f>
        <v>0</v>
      </c>
      <c r="AD263" s="51">
        <f>ROUND(IF(AQ263="7",BH263,0),2)</f>
        <v>0</v>
      </c>
      <c r="AE263" s="51">
        <f>ROUND(IF(AQ263="7",BI263,0),2)</f>
        <v>0</v>
      </c>
      <c r="AF263" s="51">
        <f>ROUND(IF(AQ263="2",BH263,0),2)</f>
        <v>0</v>
      </c>
      <c r="AG263" s="51">
        <f>ROUND(IF(AQ263="2",BI263,0),2)</f>
        <v>0</v>
      </c>
      <c r="AH263" s="51">
        <f>ROUND(IF(AQ263="0",BJ263,0),2)</f>
        <v>0</v>
      </c>
      <c r="AI263" s="35" t="s">
        <v>4</v>
      </c>
      <c r="AJ263" s="51">
        <f>IF(AN263=0,H263,0)</f>
        <v>0</v>
      </c>
      <c r="AK263" s="51">
        <f>IF(AN263=12,H263,0)</f>
        <v>0</v>
      </c>
      <c r="AL263" s="51">
        <f>IF(AN263=21,H263,0)</f>
        <v>0</v>
      </c>
      <c r="AN263" s="51">
        <v>12</v>
      </c>
      <c r="AO263" s="51">
        <f>G263*0.194314286</f>
        <v>0</v>
      </c>
      <c r="AP263" s="51">
        <f>G263*(1-0.194314286)</f>
        <v>0</v>
      </c>
      <c r="AQ263" s="53" t="s">
        <v>149</v>
      </c>
      <c r="AV263" s="51">
        <f>ROUND(AW263+AX263,2)</f>
        <v>0</v>
      </c>
      <c r="AW263" s="51">
        <f>ROUND(F263*AO263,2)</f>
        <v>0</v>
      </c>
      <c r="AX263" s="51">
        <f>ROUND(F263*AP263,2)</f>
        <v>0</v>
      </c>
      <c r="AY263" s="53" t="s">
        <v>691</v>
      </c>
      <c r="AZ263" s="53" t="s">
        <v>668</v>
      </c>
      <c r="BA263" s="35" t="s">
        <v>117</v>
      </c>
      <c r="BC263" s="51">
        <f>AW263+AX263</f>
        <v>0</v>
      </c>
      <c r="BD263" s="51">
        <f>G263/(100-BE263)*100</f>
        <v>0</v>
      </c>
      <c r="BE263" s="51">
        <v>0</v>
      </c>
      <c r="BF263" s="51">
        <f>263</f>
        <v>263</v>
      </c>
      <c r="BH263" s="51">
        <f>F263*AO263</f>
        <v>0</v>
      </c>
      <c r="BI263" s="51">
        <f>F263*AP263</f>
        <v>0</v>
      </c>
      <c r="BJ263" s="51">
        <f>F263*G263</f>
        <v>0</v>
      </c>
      <c r="BK263" s="53" t="s">
        <v>118</v>
      </c>
      <c r="BL263" s="51">
        <v>783</v>
      </c>
      <c r="BW263" s="51">
        <v>12</v>
      </c>
      <c r="BX263" s="3" t="s">
        <v>690</v>
      </c>
    </row>
    <row r="264" spans="1:76" ht="13.5" customHeight="1">
      <c r="A264" s="54"/>
      <c r="B264" s="55" t="s">
        <v>119</v>
      </c>
      <c r="C264" s="152" t="s">
        <v>692</v>
      </c>
      <c r="D264" s="153"/>
      <c r="E264" s="153"/>
      <c r="F264" s="153"/>
      <c r="G264" s="154"/>
      <c r="H264" s="153"/>
      <c r="I264" s="153"/>
      <c r="J264" s="155"/>
    </row>
    <row r="265" spans="1:76">
      <c r="A265" s="47" t="s">
        <v>4</v>
      </c>
      <c r="B265" s="48" t="s">
        <v>693</v>
      </c>
      <c r="C265" s="150" t="s">
        <v>694</v>
      </c>
      <c r="D265" s="151"/>
      <c r="E265" s="49" t="s">
        <v>79</v>
      </c>
      <c r="F265" s="49" t="s">
        <v>79</v>
      </c>
      <c r="G265" s="50" t="s">
        <v>79</v>
      </c>
      <c r="H265" s="28">
        <f>SUM(H266:H267)</f>
        <v>0</v>
      </c>
      <c r="J265" s="41"/>
      <c r="AI265" s="35" t="s">
        <v>4</v>
      </c>
      <c r="AS265" s="28">
        <f>SUM(AJ266:AJ267)</f>
        <v>0</v>
      </c>
      <c r="AT265" s="28">
        <f>SUM(AK266:AK267)</f>
        <v>0</v>
      </c>
      <c r="AU265" s="28">
        <f>SUM(AL266:AL267)</f>
        <v>0</v>
      </c>
    </row>
    <row r="266" spans="1:76">
      <c r="A266" s="1" t="s">
        <v>695</v>
      </c>
      <c r="B266" s="2" t="s">
        <v>696</v>
      </c>
      <c r="C266" s="75" t="s">
        <v>697</v>
      </c>
      <c r="D266" s="70"/>
      <c r="E266" s="2" t="s">
        <v>125</v>
      </c>
      <c r="F266" s="51">
        <v>127</v>
      </c>
      <c r="G266" s="52">
        <v>0</v>
      </c>
      <c r="H266" s="51">
        <f>ROUND(F266*G266,2)</f>
        <v>0</v>
      </c>
      <c r="J266" s="41"/>
      <c r="Z266" s="51">
        <f>ROUND(IF(AQ266="5",BJ266,0),2)</f>
        <v>0</v>
      </c>
      <c r="AB266" s="51">
        <f>ROUND(IF(AQ266="1",BH266,0),2)</f>
        <v>0</v>
      </c>
      <c r="AC266" s="51">
        <f>ROUND(IF(AQ266="1",BI266,0),2)</f>
        <v>0</v>
      </c>
      <c r="AD266" s="51">
        <f>ROUND(IF(AQ266="7",BH266,0),2)</f>
        <v>0</v>
      </c>
      <c r="AE266" s="51">
        <f>ROUND(IF(AQ266="7",BI266,0),2)</f>
        <v>0</v>
      </c>
      <c r="AF266" s="51">
        <f>ROUND(IF(AQ266="2",BH266,0),2)</f>
        <v>0</v>
      </c>
      <c r="AG266" s="51">
        <f>ROUND(IF(AQ266="2",BI266,0),2)</f>
        <v>0</v>
      </c>
      <c r="AH266" s="51">
        <f>ROUND(IF(AQ266="0",BJ266,0),2)</f>
        <v>0</v>
      </c>
      <c r="AI266" s="35" t="s">
        <v>4</v>
      </c>
      <c r="AJ266" s="51">
        <f>IF(AN266=0,H266,0)</f>
        <v>0</v>
      </c>
      <c r="AK266" s="51">
        <f>IF(AN266=12,H266,0)</f>
        <v>0</v>
      </c>
      <c r="AL266" s="51">
        <f>IF(AN266=21,H266,0)</f>
        <v>0</v>
      </c>
      <c r="AN266" s="51">
        <v>12</v>
      </c>
      <c r="AO266" s="51">
        <f>G266*0.233971131</f>
        <v>0</v>
      </c>
      <c r="AP266" s="51">
        <f>G266*(1-0.233971131)</f>
        <v>0</v>
      </c>
      <c r="AQ266" s="53" t="s">
        <v>149</v>
      </c>
      <c r="AV266" s="51">
        <f>ROUND(AW266+AX266,2)</f>
        <v>0</v>
      </c>
      <c r="AW266" s="51">
        <f>ROUND(F266*AO266,2)</f>
        <v>0</v>
      </c>
      <c r="AX266" s="51">
        <f>ROUND(F266*AP266,2)</f>
        <v>0</v>
      </c>
      <c r="AY266" s="53" t="s">
        <v>698</v>
      </c>
      <c r="AZ266" s="53" t="s">
        <v>668</v>
      </c>
      <c r="BA266" s="35" t="s">
        <v>117</v>
      </c>
      <c r="BC266" s="51">
        <f>AW266+AX266</f>
        <v>0</v>
      </c>
      <c r="BD266" s="51">
        <f>G266/(100-BE266)*100</f>
        <v>0</v>
      </c>
      <c r="BE266" s="51">
        <v>0</v>
      </c>
      <c r="BF266" s="51">
        <f>266</f>
        <v>266</v>
      </c>
      <c r="BH266" s="51">
        <f>F266*AO266</f>
        <v>0</v>
      </c>
      <c r="BI266" s="51">
        <f>F266*AP266</f>
        <v>0</v>
      </c>
      <c r="BJ266" s="51">
        <f>F266*G266</f>
        <v>0</v>
      </c>
      <c r="BK266" s="53" t="s">
        <v>118</v>
      </c>
      <c r="BL266" s="51">
        <v>784</v>
      </c>
      <c r="BW266" s="51">
        <v>12</v>
      </c>
      <c r="BX266" s="3" t="s">
        <v>697</v>
      </c>
    </row>
    <row r="267" spans="1:76">
      <c r="A267" s="1" t="s">
        <v>699</v>
      </c>
      <c r="B267" s="2" t="s">
        <v>700</v>
      </c>
      <c r="C267" s="75" t="s">
        <v>701</v>
      </c>
      <c r="D267" s="70"/>
      <c r="E267" s="2" t="s">
        <v>125</v>
      </c>
      <c r="F267" s="51">
        <v>127</v>
      </c>
      <c r="G267" s="52">
        <v>0</v>
      </c>
      <c r="H267" s="51">
        <f>ROUND(F267*G267,2)</f>
        <v>0</v>
      </c>
      <c r="J267" s="41"/>
      <c r="Z267" s="51">
        <f>ROUND(IF(AQ267="5",BJ267,0),2)</f>
        <v>0</v>
      </c>
      <c r="AB267" s="51">
        <f>ROUND(IF(AQ267="1",BH267,0),2)</f>
        <v>0</v>
      </c>
      <c r="AC267" s="51">
        <f>ROUND(IF(AQ267="1",BI267,0),2)</f>
        <v>0</v>
      </c>
      <c r="AD267" s="51">
        <f>ROUND(IF(AQ267="7",BH267,0),2)</f>
        <v>0</v>
      </c>
      <c r="AE267" s="51">
        <f>ROUND(IF(AQ267="7",BI267,0),2)</f>
        <v>0</v>
      </c>
      <c r="AF267" s="51">
        <f>ROUND(IF(AQ267="2",BH267,0),2)</f>
        <v>0</v>
      </c>
      <c r="AG267" s="51">
        <f>ROUND(IF(AQ267="2",BI267,0),2)</f>
        <v>0</v>
      </c>
      <c r="AH267" s="51">
        <f>ROUND(IF(AQ267="0",BJ267,0),2)</f>
        <v>0</v>
      </c>
      <c r="AI267" s="35" t="s">
        <v>4</v>
      </c>
      <c r="AJ267" s="51">
        <f>IF(AN267=0,H267,0)</f>
        <v>0</v>
      </c>
      <c r="AK267" s="51">
        <f>IF(AN267=12,H267,0)</f>
        <v>0</v>
      </c>
      <c r="AL267" s="51">
        <f>IF(AN267=21,H267,0)</f>
        <v>0</v>
      </c>
      <c r="AN267" s="51">
        <v>12</v>
      </c>
      <c r="AO267" s="51">
        <f>G267*0.207286015</f>
        <v>0</v>
      </c>
      <c r="AP267" s="51">
        <f>G267*(1-0.207286015)</f>
        <v>0</v>
      </c>
      <c r="AQ267" s="53" t="s">
        <v>149</v>
      </c>
      <c r="AV267" s="51">
        <f>ROUND(AW267+AX267,2)</f>
        <v>0</v>
      </c>
      <c r="AW267" s="51">
        <f>ROUND(F267*AO267,2)</f>
        <v>0</v>
      </c>
      <c r="AX267" s="51">
        <f>ROUND(F267*AP267,2)</f>
        <v>0</v>
      </c>
      <c r="AY267" s="53" t="s">
        <v>698</v>
      </c>
      <c r="AZ267" s="53" t="s">
        <v>668</v>
      </c>
      <c r="BA267" s="35" t="s">
        <v>117</v>
      </c>
      <c r="BC267" s="51">
        <f>AW267+AX267</f>
        <v>0</v>
      </c>
      <c r="BD267" s="51">
        <f>G267/(100-BE267)*100</f>
        <v>0</v>
      </c>
      <c r="BE267" s="51">
        <v>0</v>
      </c>
      <c r="BF267" s="51">
        <f>267</f>
        <v>267</v>
      </c>
      <c r="BH267" s="51">
        <f>F267*AO267</f>
        <v>0</v>
      </c>
      <c r="BI267" s="51">
        <f>F267*AP267</f>
        <v>0</v>
      </c>
      <c r="BJ267" s="51">
        <f>F267*G267</f>
        <v>0</v>
      </c>
      <c r="BK267" s="53" t="s">
        <v>118</v>
      </c>
      <c r="BL267" s="51">
        <v>784</v>
      </c>
      <c r="BW267" s="51">
        <v>12</v>
      </c>
      <c r="BX267" s="3" t="s">
        <v>701</v>
      </c>
    </row>
    <row r="268" spans="1:76">
      <c r="A268" s="54"/>
      <c r="C268" s="56" t="s">
        <v>702</v>
      </c>
      <c r="D268" s="57" t="s">
        <v>4</v>
      </c>
      <c r="F268" s="58">
        <v>127</v>
      </c>
      <c r="J268" s="41"/>
    </row>
    <row r="269" spans="1:76">
      <c r="A269" s="47" t="s">
        <v>4</v>
      </c>
      <c r="B269" s="48" t="s">
        <v>703</v>
      </c>
      <c r="C269" s="150" t="s">
        <v>704</v>
      </c>
      <c r="D269" s="151"/>
      <c r="E269" s="49" t="s">
        <v>79</v>
      </c>
      <c r="F269" s="49" t="s">
        <v>79</v>
      </c>
      <c r="G269" s="50" t="s">
        <v>79</v>
      </c>
      <c r="H269" s="28">
        <f>SUM(H270:H274)</f>
        <v>0</v>
      </c>
      <c r="J269" s="41"/>
      <c r="AI269" s="35" t="s">
        <v>4</v>
      </c>
      <c r="AS269" s="28">
        <f>SUM(AJ270:AJ274)</f>
        <v>0</v>
      </c>
      <c r="AT269" s="28">
        <f>SUM(AK270:AK274)</f>
        <v>0</v>
      </c>
      <c r="AU269" s="28">
        <f>SUM(AL270:AL274)</f>
        <v>0</v>
      </c>
    </row>
    <row r="270" spans="1:76">
      <c r="A270" s="1" t="s">
        <v>705</v>
      </c>
      <c r="B270" s="2" t="s">
        <v>706</v>
      </c>
      <c r="C270" s="75" t="s">
        <v>707</v>
      </c>
      <c r="D270" s="70"/>
      <c r="E270" s="2" t="s">
        <v>114</v>
      </c>
      <c r="F270" s="51">
        <v>1</v>
      </c>
      <c r="G270" s="52">
        <v>0</v>
      </c>
      <c r="H270" s="51">
        <f>ROUND(F270*G270,2)</f>
        <v>0</v>
      </c>
      <c r="J270" s="41"/>
      <c r="Z270" s="51">
        <f>ROUND(IF(AQ270="5",BJ270,0),2)</f>
        <v>0</v>
      </c>
      <c r="AB270" s="51">
        <f>ROUND(IF(AQ270="1",BH270,0),2)</f>
        <v>0</v>
      </c>
      <c r="AC270" s="51">
        <f>ROUND(IF(AQ270="1",BI270,0),2)</f>
        <v>0</v>
      </c>
      <c r="AD270" s="51">
        <f>ROUND(IF(AQ270="7",BH270,0),2)</f>
        <v>0</v>
      </c>
      <c r="AE270" s="51">
        <f>ROUND(IF(AQ270="7",BI270,0),2)</f>
        <v>0</v>
      </c>
      <c r="AF270" s="51">
        <f>ROUND(IF(AQ270="2",BH270,0),2)</f>
        <v>0</v>
      </c>
      <c r="AG270" s="51">
        <f>ROUND(IF(AQ270="2",BI270,0),2)</f>
        <v>0</v>
      </c>
      <c r="AH270" s="51">
        <f>ROUND(IF(AQ270="0",BJ270,0),2)</f>
        <v>0</v>
      </c>
      <c r="AI270" s="35" t="s">
        <v>4</v>
      </c>
      <c r="AJ270" s="51">
        <f>IF(AN270=0,H270,0)</f>
        <v>0</v>
      </c>
      <c r="AK270" s="51">
        <f>IF(AN270=12,H270,0)</f>
        <v>0</v>
      </c>
      <c r="AL270" s="51">
        <f>IF(AN270=21,H270,0)</f>
        <v>0</v>
      </c>
      <c r="AN270" s="51">
        <v>12</v>
      </c>
      <c r="AO270" s="51">
        <f>G270*0</f>
        <v>0</v>
      </c>
      <c r="AP270" s="51">
        <f>G270*(1-0)</f>
        <v>0</v>
      </c>
      <c r="AQ270" s="53" t="s">
        <v>121</v>
      </c>
      <c r="AV270" s="51">
        <f>ROUND(AW270+AX270,2)</f>
        <v>0</v>
      </c>
      <c r="AW270" s="51">
        <f>ROUND(F270*AO270,2)</f>
        <v>0</v>
      </c>
      <c r="AX270" s="51">
        <f>ROUND(F270*AP270,2)</f>
        <v>0</v>
      </c>
      <c r="AY270" s="53" t="s">
        <v>708</v>
      </c>
      <c r="AZ270" s="53" t="s">
        <v>242</v>
      </c>
      <c r="BA270" s="35" t="s">
        <v>117</v>
      </c>
      <c r="BC270" s="51">
        <f>AW270+AX270</f>
        <v>0</v>
      </c>
      <c r="BD270" s="51">
        <f>G270/(100-BE270)*100</f>
        <v>0</v>
      </c>
      <c r="BE270" s="51">
        <v>0</v>
      </c>
      <c r="BF270" s="51">
        <f>270</f>
        <v>270</v>
      </c>
      <c r="BH270" s="51">
        <f>F270*AO270</f>
        <v>0</v>
      </c>
      <c r="BI270" s="51">
        <f>F270*AP270</f>
        <v>0</v>
      </c>
      <c r="BJ270" s="51">
        <f>F270*G270</f>
        <v>0</v>
      </c>
      <c r="BK270" s="53" t="s">
        <v>118</v>
      </c>
      <c r="BL270" s="51"/>
      <c r="BW270" s="51">
        <v>12</v>
      </c>
      <c r="BX270" s="3" t="s">
        <v>707</v>
      </c>
    </row>
    <row r="271" spans="1:76">
      <c r="A271" s="1" t="s">
        <v>709</v>
      </c>
      <c r="B271" s="2" t="s">
        <v>710</v>
      </c>
      <c r="C271" s="75" t="s">
        <v>711</v>
      </c>
      <c r="D271" s="70"/>
      <c r="E271" s="2" t="s">
        <v>114</v>
      </c>
      <c r="F271" s="51">
        <v>1</v>
      </c>
      <c r="G271" s="52">
        <v>0</v>
      </c>
      <c r="H271" s="51">
        <f>ROUND(F271*G271,2)</f>
        <v>0</v>
      </c>
      <c r="J271" s="41"/>
      <c r="Z271" s="51">
        <f>ROUND(IF(AQ271="5",BJ271,0),2)</f>
        <v>0</v>
      </c>
      <c r="AB271" s="51">
        <f>ROUND(IF(AQ271="1",BH271,0),2)</f>
        <v>0</v>
      </c>
      <c r="AC271" s="51">
        <f>ROUND(IF(AQ271="1",BI271,0),2)</f>
        <v>0</v>
      </c>
      <c r="AD271" s="51">
        <f>ROUND(IF(AQ271="7",BH271,0),2)</f>
        <v>0</v>
      </c>
      <c r="AE271" s="51">
        <f>ROUND(IF(AQ271="7",BI271,0),2)</f>
        <v>0</v>
      </c>
      <c r="AF271" s="51">
        <f>ROUND(IF(AQ271="2",BH271,0),2)</f>
        <v>0</v>
      </c>
      <c r="AG271" s="51">
        <f>ROUND(IF(AQ271="2",BI271,0),2)</f>
        <v>0</v>
      </c>
      <c r="AH271" s="51">
        <f>ROUND(IF(AQ271="0",BJ271,0),2)</f>
        <v>0</v>
      </c>
      <c r="AI271" s="35" t="s">
        <v>4</v>
      </c>
      <c r="AJ271" s="51">
        <f>IF(AN271=0,H271,0)</f>
        <v>0</v>
      </c>
      <c r="AK271" s="51">
        <f>IF(AN271=12,H271,0)</f>
        <v>0</v>
      </c>
      <c r="AL271" s="51">
        <f>IF(AN271=21,H271,0)</f>
        <v>0</v>
      </c>
      <c r="AN271" s="51">
        <v>12</v>
      </c>
      <c r="AO271" s="51">
        <f>G271*0</f>
        <v>0</v>
      </c>
      <c r="AP271" s="51">
        <f>G271*(1-0)</f>
        <v>0</v>
      </c>
      <c r="AQ271" s="53" t="s">
        <v>121</v>
      </c>
      <c r="AV271" s="51">
        <f>ROUND(AW271+AX271,2)</f>
        <v>0</v>
      </c>
      <c r="AW271" s="51">
        <f>ROUND(F271*AO271,2)</f>
        <v>0</v>
      </c>
      <c r="AX271" s="51">
        <f>ROUND(F271*AP271,2)</f>
        <v>0</v>
      </c>
      <c r="AY271" s="53" t="s">
        <v>708</v>
      </c>
      <c r="AZ271" s="53" t="s">
        <v>242</v>
      </c>
      <c r="BA271" s="35" t="s">
        <v>117</v>
      </c>
      <c r="BC271" s="51">
        <f>AW271+AX271</f>
        <v>0</v>
      </c>
      <c r="BD271" s="51">
        <f>G271/(100-BE271)*100</f>
        <v>0</v>
      </c>
      <c r="BE271" s="51">
        <v>0</v>
      </c>
      <c r="BF271" s="51">
        <f>271</f>
        <v>271</v>
      </c>
      <c r="BH271" s="51">
        <f>F271*AO271</f>
        <v>0</v>
      </c>
      <c r="BI271" s="51">
        <f>F271*AP271</f>
        <v>0</v>
      </c>
      <c r="BJ271" s="51">
        <f>F271*G271</f>
        <v>0</v>
      </c>
      <c r="BK271" s="53" t="s">
        <v>118</v>
      </c>
      <c r="BL271" s="51"/>
      <c r="BW271" s="51">
        <v>12</v>
      </c>
      <c r="BX271" s="3" t="s">
        <v>711</v>
      </c>
    </row>
    <row r="272" spans="1:76">
      <c r="A272" s="1" t="s">
        <v>712</v>
      </c>
      <c r="B272" s="2" t="s">
        <v>713</v>
      </c>
      <c r="C272" s="75" t="s">
        <v>714</v>
      </c>
      <c r="D272" s="70"/>
      <c r="E272" s="2" t="s">
        <v>114</v>
      </c>
      <c r="F272" s="51">
        <v>1</v>
      </c>
      <c r="G272" s="52">
        <v>0</v>
      </c>
      <c r="H272" s="51">
        <f>ROUND(F272*G272,2)</f>
        <v>0</v>
      </c>
      <c r="J272" s="41"/>
      <c r="Z272" s="51">
        <f>ROUND(IF(AQ272="5",BJ272,0),2)</f>
        <v>0</v>
      </c>
      <c r="AB272" s="51">
        <f>ROUND(IF(AQ272="1",BH272,0),2)</f>
        <v>0</v>
      </c>
      <c r="AC272" s="51">
        <f>ROUND(IF(AQ272="1",BI272,0),2)</f>
        <v>0</v>
      </c>
      <c r="AD272" s="51">
        <f>ROUND(IF(AQ272="7",BH272,0),2)</f>
        <v>0</v>
      </c>
      <c r="AE272" s="51">
        <f>ROUND(IF(AQ272="7",BI272,0),2)</f>
        <v>0</v>
      </c>
      <c r="AF272" s="51">
        <f>ROUND(IF(AQ272="2",BH272,0),2)</f>
        <v>0</v>
      </c>
      <c r="AG272" s="51">
        <f>ROUND(IF(AQ272="2",BI272,0),2)</f>
        <v>0</v>
      </c>
      <c r="AH272" s="51">
        <f>ROUND(IF(AQ272="0",BJ272,0),2)</f>
        <v>0</v>
      </c>
      <c r="AI272" s="35" t="s">
        <v>4</v>
      </c>
      <c r="AJ272" s="51">
        <f>IF(AN272=0,H272,0)</f>
        <v>0</v>
      </c>
      <c r="AK272" s="51">
        <f>IF(AN272=12,H272,0)</f>
        <v>0</v>
      </c>
      <c r="AL272" s="51">
        <f>IF(AN272=21,H272,0)</f>
        <v>0</v>
      </c>
      <c r="AN272" s="51">
        <v>12</v>
      </c>
      <c r="AO272" s="51">
        <f>G272*0</f>
        <v>0</v>
      </c>
      <c r="AP272" s="51">
        <f>G272*(1-0)</f>
        <v>0</v>
      </c>
      <c r="AQ272" s="53" t="s">
        <v>121</v>
      </c>
      <c r="AV272" s="51">
        <f>ROUND(AW272+AX272,2)</f>
        <v>0</v>
      </c>
      <c r="AW272" s="51">
        <f>ROUND(F272*AO272,2)</f>
        <v>0</v>
      </c>
      <c r="AX272" s="51">
        <f>ROUND(F272*AP272,2)</f>
        <v>0</v>
      </c>
      <c r="AY272" s="53" t="s">
        <v>708</v>
      </c>
      <c r="AZ272" s="53" t="s">
        <v>242</v>
      </c>
      <c r="BA272" s="35" t="s">
        <v>117</v>
      </c>
      <c r="BC272" s="51">
        <f>AW272+AX272</f>
        <v>0</v>
      </c>
      <c r="BD272" s="51">
        <f>G272/(100-BE272)*100</f>
        <v>0</v>
      </c>
      <c r="BE272" s="51">
        <v>0</v>
      </c>
      <c r="BF272" s="51">
        <f>272</f>
        <v>272</v>
      </c>
      <c r="BH272" s="51">
        <f>F272*AO272</f>
        <v>0</v>
      </c>
      <c r="BI272" s="51">
        <f>F272*AP272</f>
        <v>0</v>
      </c>
      <c r="BJ272" s="51">
        <f>F272*G272</f>
        <v>0</v>
      </c>
      <c r="BK272" s="53" t="s">
        <v>118</v>
      </c>
      <c r="BL272" s="51"/>
      <c r="BW272" s="51">
        <v>12</v>
      </c>
      <c r="BX272" s="3" t="s">
        <v>714</v>
      </c>
    </row>
    <row r="273" spans="1:76">
      <c r="A273" s="1" t="s">
        <v>715</v>
      </c>
      <c r="B273" s="2" t="s">
        <v>716</v>
      </c>
      <c r="C273" s="75" t="s">
        <v>717</v>
      </c>
      <c r="D273" s="70"/>
      <c r="E273" s="2" t="s">
        <v>247</v>
      </c>
      <c r="F273" s="51">
        <v>1</v>
      </c>
      <c r="G273" s="52">
        <v>0</v>
      </c>
      <c r="H273" s="51">
        <f>ROUND(F273*G273,2)</f>
        <v>0</v>
      </c>
      <c r="J273" s="41"/>
      <c r="Z273" s="51">
        <f>ROUND(IF(AQ273="5",BJ273,0),2)</f>
        <v>0</v>
      </c>
      <c r="AB273" s="51">
        <f>ROUND(IF(AQ273="1",BH273,0),2)</f>
        <v>0</v>
      </c>
      <c r="AC273" s="51">
        <f>ROUND(IF(AQ273="1",BI273,0),2)</f>
        <v>0</v>
      </c>
      <c r="AD273" s="51">
        <f>ROUND(IF(AQ273="7",BH273,0),2)</f>
        <v>0</v>
      </c>
      <c r="AE273" s="51">
        <f>ROUND(IF(AQ273="7",BI273,0),2)</f>
        <v>0</v>
      </c>
      <c r="AF273" s="51">
        <f>ROUND(IF(AQ273="2",BH273,0),2)</f>
        <v>0</v>
      </c>
      <c r="AG273" s="51">
        <f>ROUND(IF(AQ273="2",BI273,0),2)</f>
        <v>0</v>
      </c>
      <c r="AH273" s="51">
        <f>ROUND(IF(AQ273="0",BJ273,0),2)</f>
        <v>0</v>
      </c>
      <c r="AI273" s="35" t="s">
        <v>4</v>
      </c>
      <c r="AJ273" s="51">
        <f>IF(AN273=0,H273,0)</f>
        <v>0</v>
      </c>
      <c r="AK273" s="51">
        <f>IF(AN273=12,H273,0)</f>
        <v>0</v>
      </c>
      <c r="AL273" s="51">
        <f>IF(AN273=21,H273,0)</f>
        <v>0</v>
      </c>
      <c r="AN273" s="51">
        <v>12</v>
      </c>
      <c r="AO273" s="51">
        <f>G273*0</f>
        <v>0</v>
      </c>
      <c r="AP273" s="51">
        <f>G273*(1-0)</f>
        <v>0</v>
      </c>
      <c r="AQ273" s="53" t="s">
        <v>121</v>
      </c>
      <c r="AV273" s="51">
        <f>ROUND(AW273+AX273,2)</f>
        <v>0</v>
      </c>
      <c r="AW273" s="51">
        <f>ROUND(F273*AO273,2)</f>
        <v>0</v>
      </c>
      <c r="AX273" s="51">
        <f>ROUND(F273*AP273,2)</f>
        <v>0</v>
      </c>
      <c r="AY273" s="53" t="s">
        <v>708</v>
      </c>
      <c r="AZ273" s="53" t="s">
        <v>242</v>
      </c>
      <c r="BA273" s="35" t="s">
        <v>117</v>
      </c>
      <c r="BC273" s="51">
        <f>AW273+AX273</f>
        <v>0</v>
      </c>
      <c r="BD273" s="51">
        <f>G273/(100-BE273)*100</f>
        <v>0</v>
      </c>
      <c r="BE273" s="51">
        <v>0</v>
      </c>
      <c r="BF273" s="51">
        <f>273</f>
        <v>273</v>
      </c>
      <c r="BH273" s="51">
        <f>F273*AO273</f>
        <v>0</v>
      </c>
      <c r="BI273" s="51">
        <f>F273*AP273</f>
        <v>0</v>
      </c>
      <c r="BJ273" s="51">
        <f>F273*G273</f>
        <v>0</v>
      </c>
      <c r="BK273" s="53" t="s">
        <v>118</v>
      </c>
      <c r="BL273" s="51"/>
      <c r="BW273" s="51">
        <v>12</v>
      </c>
      <c r="BX273" s="3" t="s">
        <v>717</v>
      </c>
    </row>
    <row r="274" spans="1:76">
      <c r="A274" s="1" t="s">
        <v>718</v>
      </c>
      <c r="B274" s="2" t="s">
        <v>719</v>
      </c>
      <c r="C274" s="75" t="s">
        <v>720</v>
      </c>
      <c r="D274" s="70"/>
      <c r="E274" s="2" t="s">
        <v>247</v>
      </c>
      <c r="F274" s="51">
        <v>1</v>
      </c>
      <c r="G274" s="52">
        <v>0</v>
      </c>
      <c r="H274" s="51">
        <f>ROUND(F274*G274,2)</f>
        <v>0</v>
      </c>
      <c r="J274" s="41"/>
      <c r="Z274" s="51">
        <f>ROUND(IF(AQ274="5",BJ274,0),2)</f>
        <v>0</v>
      </c>
      <c r="AB274" s="51">
        <f>ROUND(IF(AQ274="1",BH274,0),2)</f>
        <v>0</v>
      </c>
      <c r="AC274" s="51">
        <f>ROUND(IF(AQ274="1",BI274,0),2)</f>
        <v>0</v>
      </c>
      <c r="AD274" s="51">
        <f>ROUND(IF(AQ274="7",BH274,0),2)</f>
        <v>0</v>
      </c>
      <c r="AE274" s="51">
        <f>ROUND(IF(AQ274="7",BI274,0),2)</f>
        <v>0</v>
      </c>
      <c r="AF274" s="51">
        <f>ROUND(IF(AQ274="2",BH274,0),2)</f>
        <v>0</v>
      </c>
      <c r="AG274" s="51">
        <f>ROUND(IF(AQ274="2",BI274,0),2)</f>
        <v>0</v>
      </c>
      <c r="AH274" s="51">
        <f>ROUND(IF(AQ274="0",BJ274,0),2)</f>
        <v>0</v>
      </c>
      <c r="AI274" s="35" t="s">
        <v>4</v>
      </c>
      <c r="AJ274" s="51">
        <f>IF(AN274=0,H274,0)</f>
        <v>0</v>
      </c>
      <c r="AK274" s="51">
        <f>IF(AN274=12,H274,0)</f>
        <v>0</v>
      </c>
      <c r="AL274" s="51">
        <f>IF(AN274=21,H274,0)</f>
        <v>0</v>
      </c>
      <c r="AN274" s="51">
        <v>12</v>
      </c>
      <c r="AO274" s="51">
        <f>G274*0</f>
        <v>0</v>
      </c>
      <c r="AP274" s="51">
        <f>G274*(1-0)</f>
        <v>0</v>
      </c>
      <c r="AQ274" s="53" t="s">
        <v>121</v>
      </c>
      <c r="AV274" s="51">
        <f>ROUND(AW274+AX274,2)</f>
        <v>0</v>
      </c>
      <c r="AW274" s="51">
        <f>ROUND(F274*AO274,2)</f>
        <v>0</v>
      </c>
      <c r="AX274" s="51">
        <f>ROUND(F274*AP274,2)</f>
        <v>0</v>
      </c>
      <c r="AY274" s="53" t="s">
        <v>708</v>
      </c>
      <c r="AZ274" s="53" t="s">
        <v>242</v>
      </c>
      <c r="BA274" s="35" t="s">
        <v>117</v>
      </c>
      <c r="BC274" s="51">
        <f>AW274+AX274</f>
        <v>0</v>
      </c>
      <c r="BD274" s="51">
        <f>G274/(100-BE274)*100</f>
        <v>0</v>
      </c>
      <c r="BE274" s="51">
        <v>0</v>
      </c>
      <c r="BF274" s="51">
        <f>274</f>
        <v>274</v>
      </c>
      <c r="BH274" s="51">
        <f>F274*AO274</f>
        <v>0</v>
      </c>
      <c r="BI274" s="51">
        <f>F274*AP274</f>
        <v>0</v>
      </c>
      <c r="BJ274" s="51">
        <f>F274*G274</f>
        <v>0</v>
      </c>
      <c r="BK274" s="53" t="s">
        <v>118</v>
      </c>
      <c r="BL274" s="51"/>
      <c r="BW274" s="51">
        <v>12</v>
      </c>
      <c r="BX274" s="3" t="s">
        <v>720</v>
      </c>
    </row>
    <row r="275" spans="1:76">
      <c r="A275" s="47" t="s">
        <v>4</v>
      </c>
      <c r="B275" s="48" t="s">
        <v>721</v>
      </c>
      <c r="C275" s="150" t="s">
        <v>57</v>
      </c>
      <c r="D275" s="151"/>
      <c r="E275" s="49" t="s">
        <v>79</v>
      </c>
      <c r="F275" s="49" t="s">
        <v>79</v>
      </c>
      <c r="G275" s="50" t="s">
        <v>79</v>
      </c>
      <c r="H275" s="28">
        <f>H276+H278</f>
        <v>0</v>
      </c>
      <c r="J275" s="41"/>
      <c r="AI275" s="35" t="s">
        <v>4</v>
      </c>
    </row>
    <row r="276" spans="1:76">
      <c r="A276" s="47" t="s">
        <v>4</v>
      </c>
      <c r="B276" s="48" t="s">
        <v>722</v>
      </c>
      <c r="C276" s="150" t="s">
        <v>25</v>
      </c>
      <c r="D276" s="151"/>
      <c r="E276" s="49" t="s">
        <v>79</v>
      </c>
      <c r="F276" s="49" t="s">
        <v>79</v>
      </c>
      <c r="G276" s="50" t="s">
        <v>79</v>
      </c>
      <c r="H276" s="28">
        <f>SUM(H277:H277)</f>
        <v>0</v>
      </c>
      <c r="J276" s="41"/>
      <c r="AI276" s="35" t="s">
        <v>4</v>
      </c>
      <c r="AS276" s="28">
        <f>SUM(AJ277:AJ277)</f>
        <v>0</v>
      </c>
      <c r="AT276" s="28">
        <f>SUM(AK277:AK277)</f>
        <v>0</v>
      </c>
      <c r="AU276" s="28">
        <f>SUM(AL277:AL277)</f>
        <v>0</v>
      </c>
    </row>
    <row r="277" spans="1:76">
      <c r="A277" s="1" t="s">
        <v>723</v>
      </c>
      <c r="B277" s="2" t="s">
        <v>724</v>
      </c>
      <c r="C277" s="75" t="s">
        <v>25</v>
      </c>
      <c r="D277" s="70"/>
      <c r="E277" s="2" t="s">
        <v>725</v>
      </c>
      <c r="F277" s="51">
        <v>1</v>
      </c>
      <c r="G277" s="52">
        <v>0</v>
      </c>
      <c r="H277" s="51">
        <f>ROUND(F277*G277,2)</f>
        <v>0</v>
      </c>
      <c r="J277" s="41"/>
      <c r="Z277" s="51">
        <f>ROUND(IF(AQ277="5",BJ277,0),2)</f>
        <v>0</v>
      </c>
      <c r="AB277" s="51">
        <f>ROUND(IF(AQ277="1",BH277,0),2)</f>
        <v>0</v>
      </c>
      <c r="AC277" s="51">
        <f>ROUND(IF(AQ277="1",BI277,0),2)</f>
        <v>0</v>
      </c>
      <c r="AD277" s="51">
        <f>ROUND(IF(AQ277="7",BH277,0),2)</f>
        <v>0</v>
      </c>
      <c r="AE277" s="51">
        <f>ROUND(IF(AQ277="7",BI277,0),2)</f>
        <v>0</v>
      </c>
      <c r="AF277" s="51">
        <f>ROUND(IF(AQ277="2",BH277,0),2)</f>
        <v>0</v>
      </c>
      <c r="AG277" s="51">
        <f>ROUND(IF(AQ277="2",BI277,0),2)</f>
        <v>0</v>
      </c>
      <c r="AH277" s="51">
        <f>ROUND(IF(AQ277="0",BJ277,0),2)</f>
        <v>0</v>
      </c>
      <c r="AI277" s="35" t="s">
        <v>4</v>
      </c>
      <c r="AJ277" s="51">
        <f>IF(AN277=0,H277,0)</f>
        <v>0</v>
      </c>
      <c r="AK277" s="51">
        <f>IF(AN277=12,H277,0)</f>
        <v>0</v>
      </c>
      <c r="AL277" s="51">
        <f>IF(AN277=21,H277,0)</f>
        <v>0</v>
      </c>
      <c r="AN277" s="51">
        <v>12</v>
      </c>
      <c r="AO277" s="51">
        <f>G277*0</f>
        <v>0</v>
      </c>
      <c r="AP277" s="51">
        <f>G277*(1-0)</f>
        <v>0</v>
      </c>
      <c r="AQ277" s="53" t="s">
        <v>338</v>
      </c>
      <c r="AV277" s="51">
        <f>ROUND(AW277+AX277,2)</f>
        <v>0</v>
      </c>
      <c r="AW277" s="51">
        <f>ROUND(F277*AO277,2)</f>
        <v>0</v>
      </c>
      <c r="AX277" s="51">
        <f>ROUND(F277*AP277,2)</f>
        <v>0</v>
      </c>
      <c r="AY277" s="53" t="s">
        <v>726</v>
      </c>
      <c r="AZ277" s="53" t="s">
        <v>727</v>
      </c>
      <c r="BA277" s="35" t="s">
        <v>117</v>
      </c>
      <c r="BC277" s="51">
        <f>AW277+AX277</f>
        <v>0</v>
      </c>
      <c r="BD277" s="51">
        <f>G277/(100-BE277)*100</f>
        <v>0</v>
      </c>
      <c r="BE277" s="51">
        <v>0</v>
      </c>
      <c r="BF277" s="51">
        <f>277</f>
        <v>277</v>
      </c>
      <c r="BH277" s="51">
        <f>F277*AO277</f>
        <v>0</v>
      </c>
      <c r="BI277" s="51">
        <f>F277*AP277</f>
        <v>0</v>
      </c>
      <c r="BJ277" s="51">
        <f>F277*G277</f>
        <v>0</v>
      </c>
      <c r="BK277" s="53" t="s">
        <v>118</v>
      </c>
      <c r="BL277" s="51"/>
      <c r="BO277" s="51">
        <f>F277*G277</f>
        <v>0</v>
      </c>
      <c r="BW277" s="51">
        <v>12</v>
      </c>
      <c r="BX277" s="3" t="s">
        <v>25</v>
      </c>
    </row>
    <row r="278" spans="1:76">
      <c r="A278" s="47" t="s">
        <v>4</v>
      </c>
      <c r="B278" s="48" t="s">
        <v>728</v>
      </c>
      <c r="C278" s="150" t="s">
        <v>31</v>
      </c>
      <c r="D278" s="151"/>
      <c r="E278" s="49" t="s">
        <v>79</v>
      </c>
      <c r="F278" s="49" t="s">
        <v>79</v>
      </c>
      <c r="G278" s="50" t="s">
        <v>79</v>
      </c>
      <c r="H278" s="28">
        <f>SUM(H279:H279)</f>
        <v>0</v>
      </c>
      <c r="J278" s="41"/>
      <c r="AI278" s="35" t="s">
        <v>4</v>
      </c>
      <c r="AS278" s="28">
        <f>SUM(AJ279:AJ279)</f>
        <v>0</v>
      </c>
      <c r="AT278" s="28">
        <f>SUM(AK279:AK279)</f>
        <v>0</v>
      </c>
      <c r="AU278" s="28">
        <f>SUM(AL279:AL279)</f>
        <v>0</v>
      </c>
    </row>
    <row r="279" spans="1:76">
      <c r="A279" s="4" t="s">
        <v>729</v>
      </c>
      <c r="B279" s="5" t="s">
        <v>730</v>
      </c>
      <c r="C279" s="156" t="s">
        <v>731</v>
      </c>
      <c r="D279" s="73"/>
      <c r="E279" s="5" t="s">
        <v>725</v>
      </c>
      <c r="F279" s="59">
        <v>1</v>
      </c>
      <c r="G279" s="60">
        <v>0</v>
      </c>
      <c r="H279" s="59">
        <f>ROUND(F279*G279,2)</f>
        <v>0</v>
      </c>
      <c r="I279" s="61"/>
      <c r="J279" s="62"/>
      <c r="Z279" s="51">
        <f>ROUND(IF(AQ279="5",BJ279,0),2)</f>
        <v>0</v>
      </c>
      <c r="AB279" s="51">
        <f>ROUND(IF(AQ279="1",BH279,0),2)</f>
        <v>0</v>
      </c>
      <c r="AC279" s="51">
        <f>ROUND(IF(AQ279="1",BI279,0),2)</f>
        <v>0</v>
      </c>
      <c r="AD279" s="51">
        <f>ROUND(IF(AQ279="7",BH279,0),2)</f>
        <v>0</v>
      </c>
      <c r="AE279" s="51">
        <f>ROUND(IF(AQ279="7",BI279,0),2)</f>
        <v>0</v>
      </c>
      <c r="AF279" s="51">
        <f>ROUND(IF(AQ279="2",BH279,0),2)</f>
        <v>0</v>
      </c>
      <c r="AG279" s="51">
        <f>ROUND(IF(AQ279="2",BI279,0),2)</f>
        <v>0</v>
      </c>
      <c r="AH279" s="51">
        <f>ROUND(IF(AQ279="0",BJ279,0),2)</f>
        <v>0</v>
      </c>
      <c r="AI279" s="35" t="s">
        <v>4</v>
      </c>
      <c r="AJ279" s="51">
        <f>IF(AN279=0,H279,0)</f>
        <v>0</v>
      </c>
      <c r="AK279" s="51">
        <f>IF(AN279=12,H279,0)</f>
        <v>0</v>
      </c>
      <c r="AL279" s="51">
        <f>IF(AN279=21,H279,0)</f>
        <v>0</v>
      </c>
      <c r="AN279" s="51">
        <v>12</v>
      </c>
      <c r="AO279" s="51">
        <f>G279*0</f>
        <v>0</v>
      </c>
      <c r="AP279" s="51">
        <f>G279*(1-0)</f>
        <v>0</v>
      </c>
      <c r="AQ279" s="53" t="s">
        <v>338</v>
      </c>
      <c r="AV279" s="51">
        <f>ROUND(AW279+AX279,2)</f>
        <v>0</v>
      </c>
      <c r="AW279" s="51">
        <f>ROUND(F279*AO279,2)</f>
        <v>0</v>
      </c>
      <c r="AX279" s="51">
        <f>ROUND(F279*AP279,2)</f>
        <v>0</v>
      </c>
      <c r="AY279" s="53" t="s">
        <v>732</v>
      </c>
      <c r="AZ279" s="53" t="s">
        <v>727</v>
      </c>
      <c r="BA279" s="35" t="s">
        <v>117</v>
      </c>
      <c r="BC279" s="51">
        <f>AW279+AX279</f>
        <v>0</v>
      </c>
      <c r="BD279" s="51">
        <f>G279/(100-BE279)*100</f>
        <v>0</v>
      </c>
      <c r="BE279" s="51">
        <v>0</v>
      </c>
      <c r="BF279" s="51">
        <f>279</f>
        <v>279</v>
      </c>
      <c r="BH279" s="51">
        <f>F279*AO279</f>
        <v>0</v>
      </c>
      <c r="BI279" s="51">
        <f>F279*AP279</f>
        <v>0</v>
      </c>
      <c r="BJ279" s="51">
        <f>F279*G279</f>
        <v>0</v>
      </c>
      <c r="BK279" s="53" t="s">
        <v>118</v>
      </c>
      <c r="BL279" s="51"/>
      <c r="BR279" s="51">
        <f>F279*G279</f>
        <v>0</v>
      </c>
      <c r="BW279" s="51">
        <v>12</v>
      </c>
      <c r="BX279" s="3" t="s">
        <v>731</v>
      </c>
    </row>
    <row r="280" spans="1:76">
      <c r="H280" s="63">
        <f>ROUND(H13+H26+H71+H77+H86+H130+H132+H144+H159+H171+H201+H204+H219+H230+H246+H250+H262+H265+H269+H276+H278,2)</f>
        <v>0</v>
      </c>
    </row>
    <row r="281" spans="1:76">
      <c r="A281" s="64" t="s">
        <v>56</v>
      </c>
    </row>
    <row r="282" spans="1:76" ht="12.75" customHeight="1">
      <c r="A282" s="75" t="s">
        <v>4</v>
      </c>
      <c r="B282" s="70"/>
      <c r="C282" s="70"/>
      <c r="D282" s="70"/>
      <c r="E282" s="70"/>
      <c r="F282" s="70"/>
      <c r="G282" s="70"/>
      <c r="H282" s="70"/>
      <c r="I282" s="70"/>
      <c r="J282" s="70"/>
    </row>
  </sheetData>
  <sheetProtection password="CF7A" sheet="1"/>
  <mergeCells count="215">
    <mergeCell ref="C277:D277"/>
    <mergeCell ref="C278:D278"/>
    <mergeCell ref="C279:D279"/>
    <mergeCell ref="A282:J282"/>
    <mergeCell ref="C272:D272"/>
    <mergeCell ref="C273:D273"/>
    <mergeCell ref="C274:D274"/>
    <mergeCell ref="C275:D275"/>
    <mergeCell ref="C276:D276"/>
    <mergeCell ref="C266:D266"/>
    <mergeCell ref="C267:D267"/>
    <mergeCell ref="C269:D269"/>
    <mergeCell ref="C270:D270"/>
    <mergeCell ref="C271:D271"/>
    <mergeCell ref="C261:D261"/>
    <mergeCell ref="C262:D262"/>
    <mergeCell ref="C263:D263"/>
    <mergeCell ref="C264:J264"/>
    <mergeCell ref="C265:D265"/>
    <mergeCell ref="C251:D251"/>
    <mergeCell ref="C255:D255"/>
    <mergeCell ref="C256:D256"/>
    <mergeCell ref="C258:D258"/>
    <mergeCell ref="C259:D259"/>
    <mergeCell ref="C246:D246"/>
    <mergeCell ref="C247:D247"/>
    <mergeCell ref="C248:D248"/>
    <mergeCell ref="C249:D249"/>
    <mergeCell ref="C250:D250"/>
    <mergeCell ref="C240:J240"/>
    <mergeCell ref="C241:D241"/>
    <mergeCell ref="C242:D242"/>
    <mergeCell ref="C243:D243"/>
    <mergeCell ref="C245:D245"/>
    <mergeCell ref="C229:D229"/>
    <mergeCell ref="C230:D230"/>
    <mergeCell ref="C231:D231"/>
    <mergeCell ref="C235:D235"/>
    <mergeCell ref="C239:D239"/>
    <mergeCell ref="C220:D220"/>
    <mergeCell ref="C221:D221"/>
    <mergeCell ref="C223:D223"/>
    <mergeCell ref="C224:D224"/>
    <mergeCell ref="C228:D228"/>
    <mergeCell ref="C215:D215"/>
    <mergeCell ref="C216:D216"/>
    <mergeCell ref="C217:D217"/>
    <mergeCell ref="C218:D218"/>
    <mergeCell ref="C219:D219"/>
    <mergeCell ref="C209:D209"/>
    <mergeCell ref="C210:D210"/>
    <mergeCell ref="C211:D211"/>
    <mergeCell ref="C212:D212"/>
    <mergeCell ref="C213:D213"/>
    <mergeCell ref="C204:D204"/>
    <mergeCell ref="C205:D205"/>
    <mergeCell ref="C206:D206"/>
    <mergeCell ref="C207:D207"/>
    <mergeCell ref="C208:D208"/>
    <mergeCell ref="C199:D199"/>
    <mergeCell ref="C200:D200"/>
    <mergeCell ref="C201:D201"/>
    <mergeCell ref="C202:D202"/>
    <mergeCell ref="C203:D203"/>
    <mergeCell ref="C194:D194"/>
    <mergeCell ref="C195:D195"/>
    <mergeCell ref="C196:D196"/>
    <mergeCell ref="C197:D197"/>
    <mergeCell ref="C198:D198"/>
    <mergeCell ref="C189:D189"/>
    <mergeCell ref="C190:D190"/>
    <mergeCell ref="C191:D191"/>
    <mergeCell ref="C192:D192"/>
    <mergeCell ref="C193:D193"/>
    <mergeCell ref="C184:D184"/>
    <mergeCell ref="C185:D185"/>
    <mergeCell ref="C186:D186"/>
    <mergeCell ref="C187:D187"/>
    <mergeCell ref="C188:D188"/>
    <mergeCell ref="C178:D178"/>
    <mergeCell ref="C179:D179"/>
    <mergeCell ref="C180:D180"/>
    <mergeCell ref="C182:D182"/>
    <mergeCell ref="C183:D183"/>
    <mergeCell ref="C173:D173"/>
    <mergeCell ref="C174:D174"/>
    <mergeCell ref="C175:D175"/>
    <mergeCell ref="C176:D176"/>
    <mergeCell ref="C177:D177"/>
    <mergeCell ref="C168:D168"/>
    <mergeCell ref="C169:D169"/>
    <mergeCell ref="C170:D170"/>
    <mergeCell ref="C171:D171"/>
    <mergeCell ref="C172:D172"/>
    <mergeCell ref="C163:D163"/>
    <mergeCell ref="C164:D164"/>
    <mergeCell ref="C165:D165"/>
    <mergeCell ref="C166:D166"/>
    <mergeCell ref="C167:D167"/>
    <mergeCell ref="C158:D158"/>
    <mergeCell ref="C159:D159"/>
    <mergeCell ref="C160:D160"/>
    <mergeCell ref="C161:D161"/>
    <mergeCell ref="C162:D162"/>
    <mergeCell ref="C152:D152"/>
    <mergeCell ref="C153:D153"/>
    <mergeCell ref="C154:D154"/>
    <mergeCell ref="C156:D156"/>
    <mergeCell ref="C157:D157"/>
    <mergeCell ref="C147:D147"/>
    <mergeCell ref="C148:D148"/>
    <mergeCell ref="C149:D149"/>
    <mergeCell ref="C150:D150"/>
    <mergeCell ref="C151:D151"/>
    <mergeCell ref="C140:J140"/>
    <mergeCell ref="C143:D143"/>
    <mergeCell ref="C144:D144"/>
    <mergeCell ref="C145:D145"/>
    <mergeCell ref="C146:D146"/>
    <mergeCell ref="C132:D132"/>
    <mergeCell ref="C133:D133"/>
    <mergeCell ref="C134:D134"/>
    <mergeCell ref="C135:J135"/>
    <mergeCell ref="C139:D139"/>
    <mergeCell ref="C123:D123"/>
    <mergeCell ref="C125:D125"/>
    <mergeCell ref="C127:D127"/>
    <mergeCell ref="C130:D130"/>
    <mergeCell ref="C131:D131"/>
    <mergeCell ref="C116:D116"/>
    <mergeCell ref="C117:D117"/>
    <mergeCell ref="C119:D119"/>
    <mergeCell ref="C120:D120"/>
    <mergeCell ref="C122:D122"/>
    <mergeCell ref="C108:D108"/>
    <mergeCell ref="C110:D110"/>
    <mergeCell ref="C112:D112"/>
    <mergeCell ref="C113:J113"/>
    <mergeCell ref="C115:D115"/>
    <mergeCell ref="C92:D92"/>
    <mergeCell ref="C95:D95"/>
    <mergeCell ref="C97:D97"/>
    <mergeCell ref="C99:D99"/>
    <mergeCell ref="C101:D101"/>
    <mergeCell ref="C83:J83"/>
    <mergeCell ref="C84:D84"/>
    <mergeCell ref="C86:D86"/>
    <mergeCell ref="C87:D87"/>
    <mergeCell ref="C90:D90"/>
    <mergeCell ref="C78:D78"/>
    <mergeCell ref="C79:J79"/>
    <mergeCell ref="C80:D80"/>
    <mergeCell ref="C81:D81"/>
    <mergeCell ref="C82:D82"/>
    <mergeCell ref="C69:J69"/>
    <mergeCell ref="C71:D71"/>
    <mergeCell ref="C72:D72"/>
    <mergeCell ref="C76:D76"/>
    <mergeCell ref="C77:D77"/>
    <mergeCell ref="C56:D56"/>
    <mergeCell ref="C57:J57"/>
    <mergeCell ref="C64:D64"/>
    <mergeCell ref="C65:J65"/>
    <mergeCell ref="C68:D68"/>
    <mergeCell ref="C46:J46"/>
    <mergeCell ref="C48:D48"/>
    <mergeCell ref="C49:J49"/>
    <mergeCell ref="C53:D53"/>
    <mergeCell ref="C54:J54"/>
    <mergeCell ref="C36:D36"/>
    <mergeCell ref="C40:D40"/>
    <mergeCell ref="C42:D42"/>
    <mergeCell ref="C43:J43"/>
    <mergeCell ref="C45:D45"/>
    <mergeCell ref="C26:D26"/>
    <mergeCell ref="C27:D27"/>
    <mergeCell ref="C28:D28"/>
    <mergeCell ref="C30:D30"/>
    <mergeCell ref="C32:D32"/>
    <mergeCell ref="C17:D17"/>
    <mergeCell ref="C20:D20"/>
    <mergeCell ref="C21:J21"/>
    <mergeCell ref="C22:D22"/>
    <mergeCell ref="C24:D24"/>
    <mergeCell ref="C11:D11"/>
    <mergeCell ref="C12:D12"/>
    <mergeCell ref="C13:D13"/>
    <mergeCell ref="C14:D14"/>
    <mergeCell ref="C15:J15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Franta</cp:lastModifiedBy>
  <dcterms:created xsi:type="dcterms:W3CDTF">2021-06-10T20:06:38Z</dcterms:created>
  <dcterms:modified xsi:type="dcterms:W3CDTF">2025-09-15T07:31:05Z</dcterms:modified>
</cp:coreProperties>
</file>